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2340" yWindow="2340" windowWidth="10220" windowHeight="3820" tabRatio="826" firstSheet="13" activeTab="13"/>
  </bookViews>
  <sheets>
    <sheet name="Kybermittari" sheetId="6" state="hidden" r:id="rId1"/>
    <sheet name="CRITICAL" sheetId="12" state="hidden" r:id="rId2"/>
    <sheet name="RISK" sheetId="1" state="hidden" r:id="rId3"/>
    <sheet name="DEPENDENCIES" sheetId="19" state="hidden" r:id="rId4"/>
    <sheet name="ASSET" sheetId="8" state="hidden" r:id="rId5"/>
    <sheet name="ACCESS" sheetId="10" state="hidden" r:id="rId6"/>
    <sheet name="THREAT" sheetId="21" state="hidden" r:id="rId7"/>
    <sheet name="SITUATION" sheetId="17" state="hidden" r:id="rId8"/>
    <sheet name="RESPONSE" sheetId="18" state="hidden" r:id="rId9"/>
    <sheet name="WORKFORCE" sheetId="20" state="hidden" r:id="rId10"/>
    <sheet name="ARCHITECTURE" sheetId="16" state="hidden" r:id="rId11"/>
    <sheet name="PROGRAM" sheetId="14" state="hidden" r:id="rId12"/>
    <sheet name="Investment" sheetId="13" state="hidden" r:id="rId13"/>
    <sheet name="DataExport" sheetId="32" r:id="rId14"/>
    <sheet name="R1" sheetId="23" state="hidden" r:id="rId15"/>
    <sheet name="R2" sheetId="34" state="hidden" r:id="rId16"/>
    <sheet name="R3" sheetId="24" state="hidden" r:id="rId17"/>
    <sheet name="Languages" sheetId="4" state="hidden" r:id="rId18"/>
    <sheet name="Data" sheetId="5" state="hidden" r:id="rId19"/>
    <sheet name="NISTMap" sheetId="29" state="hidden" r:id="rId20"/>
    <sheet name="Parameters" sheetId="7" state="hidden" r:id="rId21"/>
  </sheets>
  <definedNames>
    <definedName name="_xlnm._FilterDatabase" localSheetId="17" hidden="1">Languages!$A$1:$D$514</definedName>
    <definedName name="_xlnm._FilterDatabase" localSheetId="19" hidden="1">NISTMap!$A$1:$H$553</definedName>
    <definedName name="_xlnm.Print_Area" localSheetId="15">'R2'!$A$1:$K$55</definedName>
  </definedNames>
  <calcPr calcId="162913"/>
</workbook>
</file>

<file path=xl/calcChain.xml><?xml version="1.0" encoding="utf-8"?>
<calcChain xmlns="http://schemas.openxmlformats.org/spreadsheetml/2006/main">
  <c r="F19" i="13" l="1"/>
  <c r="K8" i="13"/>
  <c r="L19" i="13"/>
  <c r="I19" i="13"/>
  <c r="H19" i="13"/>
  <c r="G19" i="13"/>
  <c r="J19" i="13"/>
  <c r="AE17" i="29"/>
  <c r="AE18" i="29"/>
  <c r="AE19" i="29"/>
  <c r="AE20" i="29"/>
  <c r="AE16" i="29"/>
  <c r="AD17" i="29"/>
  <c r="AD18" i="29"/>
  <c r="AD19" i="29"/>
  <c r="AD20" i="29"/>
  <c r="AD16" i="29"/>
  <c r="AC20" i="29"/>
  <c r="AC19" i="29"/>
  <c r="AC18" i="29"/>
  <c r="AC17" i="29"/>
  <c r="AC16" i="29"/>
  <c r="AB20" i="29"/>
  <c r="AB19" i="29"/>
  <c r="AB18" i="29"/>
  <c r="AB17" i="29"/>
  <c r="AB16" i="29"/>
  <c r="O413" i="32"/>
  <c r="O412" i="32"/>
  <c r="O411" i="32"/>
  <c r="O410" i="32"/>
  <c r="O409" i="32"/>
  <c r="O408" i="32"/>
  <c r="O407" i="32"/>
  <c r="O406" i="32"/>
  <c r="O405" i="32"/>
  <c r="O404" i="32"/>
  <c r="O403" i="32"/>
  <c r="K18" i="13"/>
  <c r="K17" i="13"/>
  <c r="O401" i="32" s="1"/>
  <c r="K16" i="13"/>
  <c r="O400" i="32" s="1"/>
  <c r="K15" i="13"/>
  <c r="O399" i="32" s="1"/>
  <c r="K14" i="13"/>
  <c r="K13" i="13"/>
  <c r="O397" i="32" s="1"/>
  <c r="K12" i="13"/>
  <c r="O396" i="32" s="1"/>
  <c r="K11" i="13"/>
  <c r="O395" i="32" s="1"/>
  <c r="K10" i="13"/>
  <c r="K9" i="13"/>
  <c r="O393" i="32" s="1"/>
  <c r="O402" i="32"/>
  <c r="O398" i="32"/>
  <c r="O394" i="32"/>
  <c r="P10" i="32"/>
  <c r="P168" i="32"/>
  <c r="P245" i="32"/>
  <c r="P313" i="32"/>
  <c r="P368" i="32"/>
  <c r="P12" i="32"/>
  <c r="P412" i="32"/>
  <c r="P100" i="32"/>
  <c r="P343" i="32"/>
  <c r="P140" i="32"/>
  <c r="P119" i="32"/>
  <c r="P261" i="32"/>
  <c r="P226" i="32"/>
  <c r="P399" i="32"/>
  <c r="P357" i="32"/>
  <c r="P216" i="32"/>
  <c r="P96" i="32"/>
  <c r="P369" i="32"/>
  <c r="P219" i="32"/>
  <c r="P195" i="32"/>
  <c r="P262" i="32"/>
  <c r="P362" i="32"/>
  <c r="P289" i="32"/>
  <c r="P297" i="32"/>
  <c r="P131" i="32"/>
  <c r="P154" i="32"/>
  <c r="P295" i="32"/>
  <c r="P135" i="32"/>
  <c r="P320" i="32"/>
  <c r="P340" i="32"/>
  <c r="P332" i="32"/>
  <c r="P276" i="32"/>
  <c r="P85" i="32"/>
  <c r="P322" i="32"/>
  <c r="P366" i="32"/>
  <c r="P331" i="32"/>
  <c r="P136" i="32"/>
  <c r="P78" i="32"/>
  <c r="P101" i="32"/>
  <c r="P310" i="32"/>
  <c r="P24" i="32"/>
  <c r="P107" i="32"/>
  <c r="P157" i="32"/>
  <c r="P185" i="32"/>
  <c r="P317" i="32"/>
  <c r="P181" i="32"/>
  <c r="P360" i="32"/>
  <c r="P304" i="32"/>
  <c r="P359" i="32"/>
  <c r="P286" i="32"/>
  <c r="P40" i="32"/>
  <c r="P311" i="32"/>
  <c r="P121" i="32"/>
  <c r="P45" i="32"/>
  <c r="P52" i="32"/>
  <c r="P61" i="32"/>
  <c r="P385" i="32"/>
  <c r="P66" i="32"/>
  <c r="P54" i="32"/>
  <c r="P68" i="32"/>
  <c r="P222" i="32"/>
  <c r="P166" i="32"/>
  <c r="P266" i="32"/>
  <c r="P269" i="32"/>
  <c r="P25" i="32"/>
  <c r="H15" i="5"/>
  <c r="P58" i="32"/>
  <c r="P93" i="32"/>
  <c r="P256" i="32"/>
  <c r="P42" i="32"/>
  <c r="P296" i="32"/>
  <c r="P309" i="32"/>
  <c r="P255" i="32"/>
  <c r="P57" i="32"/>
  <c r="P72" i="32"/>
  <c r="P387" i="32"/>
  <c r="P193" i="32"/>
  <c r="P361" i="32"/>
  <c r="P243" i="32"/>
  <c r="P242" i="32"/>
  <c r="P156" i="32"/>
  <c r="P321" i="32"/>
  <c r="P11" i="32"/>
  <c r="P111" i="32"/>
  <c r="P363" i="32"/>
  <c r="P212" i="32"/>
  <c r="P257" i="32"/>
  <c r="P410" i="32"/>
  <c r="P308" i="32"/>
  <c r="P38" i="32"/>
  <c r="P138" i="32"/>
  <c r="P191" i="32"/>
  <c r="P160" i="32"/>
  <c r="P356" i="32"/>
  <c r="P329" i="32"/>
  <c r="P71" i="32"/>
  <c r="P376" i="32"/>
  <c r="P380" i="32"/>
  <c r="P237" i="32"/>
  <c r="P334" i="32"/>
  <c r="P236" i="32"/>
  <c r="P59" i="32"/>
  <c r="P158" i="32"/>
  <c r="P202" i="32"/>
  <c r="P134" i="32"/>
  <c r="P234" i="32"/>
  <c r="P17" i="32"/>
  <c r="P352" i="32"/>
  <c r="P169" i="32"/>
  <c r="P26" i="32"/>
  <c r="P167" i="32"/>
  <c r="P301" i="32"/>
  <c r="P148" i="32"/>
  <c r="P283" i="32"/>
  <c r="P190" i="32"/>
  <c r="P371" i="32"/>
  <c r="P147" i="32"/>
  <c r="P240" i="32"/>
  <c r="P259" i="32"/>
  <c r="P184" i="32"/>
  <c r="P392" i="32"/>
  <c r="P238" i="32"/>
  <c r="P106" i="32"/>
  <c r="P39" i="32"/>
  <c r="P284" i="32"/>
  <c r="P381" i="32"/>
  <c r="P67" i="32"/>
  <c r="P379" i="32"/>
  <c r="P367" i="32"/>
  <c r="P15" i="32"/>
  <c r="P407" i="32"/>
  <c r="P183" i="32"/>
  <c r="P384" i="32"/>
  <c r="P314" i="32"/>
  <c r="P132" i="32"/>
  <c r="P198" i="32"/>
  <c r="P298" i="32"/>
  <c r="P248" i="32"/>
  <c r="P145" i="32"/>
  <c r="P126" i="32"/>
  <c r="P90" i="32"/>
  <c r="P231" i="32"/>
  <c r="P91" i="32"/>
  <c r="P364" i="32"/>
  <c r="P29" i="32"/>
  <c r="P204" i="32"/>
  <c r="P247" i="32"/>
  <c r="P325" i="32"/>
  <c r="P258" i="32"/>
  <c r="P267" i="32"/>
  <c r="P391" i="32"/>
  <c r="P14" i="32"/>
  <c r="P228" i="32"/>
  <c r="P246" i="32"/>
  <c r="P223" i="32"/>
  <c r="P28" i="32"/>
  <c r="P294" i="32"/>
  <c r="P394" i="32"/>
  <c r="P30" i="32"/>
  <c r="P409" i="32"/>
  <c r="P291" i="32"/>
  <c r="P186" i="32"/>
  <c r="P327" i="32"/>
  <c r="P33" i="32"/>
  <c r="P208" i="32"/>
  <c r="P408" i="32"/>
  <c r="P83" i="32"/>
  <c r="P82" i="32"/>
  <c r="P315" i="32"/>
  <c r="P213" i="32"/>
  <c r="P137" i="32"/>
  <c r="P390" i="32"/>
  <c r="P88" i="32"/>
  <c r="P350" i="32"/>
  <c r="P55" i="32"/>
  <c r="P405" i="32"/>
  <c r="P282" i="32"/>
  <c r="P108" i="32"/>
  <c r="P254" i="32"/>
  <c r="P411" i="32"/>
  <c r="P50" i="32"/>
  <c r="P375" i="32"/>
  <c r="P347" i="32"/>
  <c r="P16" i="32"/>
  <c r="P13" i="32"/>
  <c r="P211" i="32"/>
  <c r="P388" i="32"/>
  <c r="P225" i="32"/>
  <c r="P104" i="32"/>
  <c r="P175" i="32"/>
  <c r="P92" i="32"/>
  <c r="P162" i="32"/>
  <c r="P171" i="32"/>
  <c r="P271" i="32"/>
  <c r="H14" i="5"/>
  <c r="P217" i="32"/>
  <c r="P150" i="32"/>
  <c r="P63" i="32"/>
  <c r="P65" i="32"/>
  <c r="P20" i="32"/>
  <c r="P47" i="32"/>
  <c r="P99" i="32"/>
  <c r="P279" i="32"/>
  <c r="P305" i="32"/>
  <c r="P346" i="32"/>
  <c r="P180" i="32"/>
  <c r="P130" i="32"/>
  <c r="P74" i="32"/>
  <c r="P153" i="32"/>
  <c r="P373" i="32"/>
  <c r="P319" i="32"/>
  <c r="P161" i="32"/>
  <c r="P244" i="32"/>
  <c r="P252" i="32"/>
  <c r="P81" i="32"/>
  <c r="P270" i="32"/>
  <c r="P163" i="32"/>
  <c r="P112" i="32"/>
  <c r="P345" i="32"/>
  <c r="P189" i="32"/>
  <c r="P43" i="32"/>
  <c r="P143" i="32"/>
  <c r="P172" i="32"/>
  <c r="P113" i="32"/>
  <c r="P22" i="32"/>
  <c r="P403" i="32"/>
  <c r="P372" i="32"/>
  <c r="P250" i="32"/>
  <c r="P337" i="32"/>
  <c r="P87" i="32"/>
  <c r="P339" i="32"/>
  <c r="P370" i="32"/>
  <c r="P348" i="32"/>
  <c r="P98" i="32"/>
  <c r="P110" i="32"/>
  <c r="P139" i="32"/>
  <c r="P239" i="32"/>
  <c r="P89" i="32"/>
  <c r="P41" i="32"/>
  <c r="P118" i="32"/>
  <c r="P31" i="32"/>
  <c r="P221" i="32"/>
  <c r="P97" i="32"/>
  <c r="P293" i="32"/>
  <c r="P159" i="32"/>
  <c r="P341" i="32"/>
  <c r="P389" i="32"/>
  <c r="P144" i="32"/>
  <c r="P300" i="32"/>
  <c r="P377" i="32"/>
  <c r="P336" i="32"/>
  <c r="P249" i="32"/>
  <c r="P194" i="32"/>
  <c r="P151" i="32"/>
  <c r="P312" i="32"/>
  <c r="P233" i="32"/>
  <c r="P307" i="32"/>
  <c r="P75" i="32"/>
  <c r="P49" i="32"/>
  <c r="P129" i="32"/>
  <c r="P128" i="32"/>
  <c r="P260" i="32"/>
  <c r="P174" i="32"/>
  <c r="P62" i="32"/>
  <c r="P406" i="32"/>
  <c r="P141" i="32"/>
  <c r="P125" i="32"/>
  <c r="P203" i="32"/>
  <c r="P303" i="32"/>
  <c r="P105" i="32"/>
  <c r="P393" i="32"/>
  <c r="P182" i="32"/>
  <c r="P95" i="32"/>
  <c r="P349" i="32"/>
  <c r="P230" i="32"/>
  <c r="P330" i="32"/>
  <c r="P73" i="32"/>
  <c r="P209" i="32"/>
  <c r="P64" i="32"/>
  <c r="P122" i="32"/>
  <c r="P102" i="32"/>
  <c r="P21" i="32"/>
  <c r="P280" i="32"/>
  <c r="P19" i="32"/>
  <c r="P18" i="32"/>
  <c r="P251" i="32"/>
  <c r="P32" i="32"/>
  <c r="P115" i="32"/>
  <c r="P299" i="32"/>
  <c r="P60" i="32"/>
  <c r="P46" i="32"/>
  <c r="P205" i="32"/>
  <c r="P278" i="32"/>
  <c r="P287" i="32"/>
  <c r="P358" i="32"/>
  <c r="P386" i="32"/>
  <c r="P353" i="32"/>
  <c r="P404" i="32"/>
  <c r="P396" i="32"/>
  <c r="P253" i="32"/>
  <c r="P176" i="32"/>
  <c r="P354" i="32"/>
  <c r="P288" i="32"/>
  <c r="P48" i="32"/>
  <c r="P196" i="32"/>
  <c r="P142" i="32"/>
  <c r="P241" i="32"/>
  <c r="P374" i="32"/>
  <c r="P292" i="32"/>
  <c r="P199" i="32"/>
  <c r="P114" i="32"/>
  <c r="P281" i="32"/>
  <c r="P178" i="32"/>
  <c r="P133" i="32"/>
  <c r="P152" i="32"/>
  <c r="P264" i="32"/>
  <c r="P35" i="32"/>
  <c r="P235" i="32"/>
  <c r="H13" i="5"/>
  <c r="P127" i="32"/>
  <c r="P268" i="32"/>
  <c r="P342" i="32"/>
  <c r="P51" i="32"/>
  <c r="P326" i="32"/>
  <c r="P218" i="32"/>
  <c r="P146" i="32"/>
  <c r="P23" i="32"/>
  <c r="P401" i="32"/>
  <c r="P188" i="32"/>
  <c r="P120" i="32"/>
  <c r="P116" i="32"/>
  <c r="P164" i="32"/>
  <c r="P56" i="32"/>
  <c r="P44" i="32"/>
  <c r="P229" i="32"/>
  <c r="P37" i="32"/>
  <c r="P383" i="32"/>
  <c r="P177" i="32"/>
  <c r="P155" i="32"/>
  <c r="P351" i="32"/>
  <c r="P117" i="32"/>
  <c r="P109" i="32"/>
  <c r="P324" i="32"/>
  <c r="P206" i="32"/>
  <c r="P382" i="32"/>
  <c r="P395" i="32"/>
  <c r="P397" i="32"/>
  <c r="P413" i="32"/>
  <c r="P80" i="32"/>
  <c r="P79" i="32"/>
  <c r="P227" i="32"/>
  <c r="P76" i="32"/>
  <c r="P328" i="32"/>
  <c r="P378" i="32"/>
  <c r="P402" i="32"/>
  <c r="P265" i="32"/>
  <c r="P338" i="32"/>
  <c r="P275" i="32"/>
  <c r="P274" i="32"/>
  <c r="P220" i="32"/>
  <c r="P34" i="32"/>
  <c r="P277" i="32"/>
  <c r="P316" i="32"/>
  <c r="P173" i="32"/>
  <c r="P302" i="32"/>
  <c r="P323" i="32"/>
  <c r="P27" i="32"/>
  <c r="P94" i="32"/>
  <c r="P272" i="32"/>
  <c r="P70" i="32"/>
  <c r="P170" i="32"/>
  <c r="P355" i="32"/>
  <c r="P224" i="32"/>
  <c r="P333" i="32"/>
  <c r="P273" i="32"/>
  <c r="P103" i="32"/>
  <c r="P69" i="32"/>
  <c r="P165" i="32"/>
  <c r="P365" i="32"/>
  <c r="P398" i="32"/>
  <c r="P192" i="32"/>
  <c r="P123" i="32"/>
  <c r="P318" i="32"/>
  <c r="P285" i="32"/>
  <c r="P86" i="32"/>
  <c r="P400" i="32"/>
  <c r="P179" i="32"/>
  <c r="P84" i="32"/>
  <c r="P232" i="32"/>
  <c r="P36" i="32"/>
  <c r="P187" i="32"/>
  <c r="P200" i="32"/>
  <c r="P335" i="32"/>
  <c r="P214" i="32"/>
  <c r="H16" i="5"/>
  <c r="P290" i="32"/>
  <c r="P344" i="32"/>
  <c r="P207" i="32"/>
  <c r="P77" i="32"/>
  <c r="P201" i="32"/>
  <c r="P263" i="32"/>
  <c r="P197" i="32"/>
  <c r="P210" i="32"/>
  <c r="P124" i="32"/>
  <c r="P53" i="32"/>
  <c r="P306" i="32"/>
  <c r="P149" i="32"/>
  <c r="P215" i="32"/>
  <c r="K19" i="13" l="1"/>
  <c r="O392" i="32"/>
  <c r="G553" i="29"/>
  <c r="G552" i="29"/>
  <c r="G551" i="29"/>
  <c r="G550" i="29"/>
  <c r="G549" i="29"/>
  <c r="G548" i="29"/>
  <c r="G547" i="29"/>
  <c r="G546" i="29"/>
  <c r="G545" i="29"/>
  <c r="G544" i="29"/>
  <c r="G543" i="29"/>
  <c r="G542" i="29"/>
  <c r="G541" i="29"/>
  <c r="G540" i="29"/>
  <c r="G539" i="29"/>
  <c r="G538" i="29"/>
  <c r="G537" i="29"/>
  <c r="G536" i="29"/>
  <c r="G535" i="29"/>
  <c r="G534" i="29"/>
  <c r="G533" i="29"/>
  <c r="G532" i="29"/>
  <c r="G531" i="29"/>
  <c r="G530" i="29"/>
  <c r="G529" i="29"/>
  <c r="G528" i="29"/>
  <c r="G527" i="29"/>
  <c r="G526" i="29"/>
  <c r="G525" i="29"/>
  <c r="G524" i="29"/>
  <c r="G523" i="29"/>
  <c r="G522" i="29"/>
  <c r="G521" i="29"/>
  <c r="G520" i="29"/>
  <c r="G519" i="29"/>
  <c r="G518" i="29"/>
  <c r="G517" i="29"/>
  <c r="G516" i="29"/>
  <c r="G515" i="29"/>
  <c r="G514" i="29"/>
  <c r="G513" i="29"/>
  <c r="G512" i="29"/>
  <c r="G511" i="29"/>
  <c r="G510" i="29"/>
  <c r="G509" i="29"/>
  <c r="G508" i="29"/>
  <c r="G507" i="29"/>
  <c r="G506" i="29"/>
  <c r="G505" i="29"/>
  <c r="G504" i="29"/>
  <c r="G503" i="29"/>
  <c r="G502" i="29"/>
  <c r="G501" i="29"/>
  <c r="G500" i="29"/>
  <c r="G499" i="29"/>
  <c r="G498" i="29"/>
  <c r="G497" i="29"/>
  <c r="G496" i="29"/>
  <c r="G495" i="29"/>
  <c r="G494" i="29"/>
  <c r="G493" i="29"/>
  <c r="G492" i="29"/>
  <c r="G491" i="29"/>
  <c r="G490" i="29"/>
  <c r="G489" i="29"/>
  <c r="G488" i="29"/>
  <c r="G487" i="29"/>
  <c r="G486" i="29"/>
  <c r="G485" i="29"/>
  <c r="G484" i="29"/>
  <c r="G483" i="29"/>
  <c r="G482" i="29"/>
  <c r="G481" i="29"/>
  <c r="G480" i="29"/>
  <c r="G479" i="29"/>
  <c r="G478" i="29"/>
  <c r="G477" i="29"/>
  <c r="G476" i="29"/>
  <c r="G475" i="29"/>
  <c r="G474" i="29"/>
  <c r="G473" i="29"/>
  <c r="G472" i="29"/>
  <c r="G471" i="29"/>
  <c r="G470" i="29"/>
  <c r="G469" i="29"/>
  <c r="G468" i="29"/>
  <c r="G467" i="29"/>
  <c r="G466" i="29"/>
  <c r="G465" i="29"/>
  <c r="G464" i="29"/>
  <c r="G463" i="29"/>
  <c r="G462" i="29"/>
  <c r="G461" i="29"/>
  <c r="G460" i="29"/>
  <c r="G459" i="29"/>
  <c r="G458" i="29"/>
  <c r="G457" i="29"/>
  <c r="G456" i="29"/>
  <c r="G455" i="29"/>
  <c r="G454" i="29"/>
  <c r="G453" i="29"/>
  <c r="G452" i="29"/>
  <c r="G451" i="29"/>
  <c r="G450" i="29"/>
  <c r="G449" i="29"/>
  <c r="G448" i="29"/>
  <c r="G447" i="29"/>
  <c r="G446" i="29"/>
  <c r="G445" i="29"/>
  <c r="G444" i="29"/>
  <c r="G443" i="29"/>
  <c r="G442" i="29"/>
  <c r="G441" i="29"/>
  <c r="G429" i="29"/>
  <c r="G427" i="29"/>
  <c r="G419" i="29"/>
  <c r="G418" i="29"/>
  <c r="G407" i="29"/>
  <c r="G390" i="29"/>
  <c r="G382" i="29"/>
  <c r="G379" i="29"/>
  <c r="G367" i="29"/>
  <c r="G349" i="29"/>
  <c r="G330" i="29"/>
  <c r="G323" i="29"/>
  <c r="G297" i="29"/>
  <c r="G293" i="29"/>
  <c r="G275" i="29"/>
  <c r="G265" i="29"/>
  <c r="G259" i="29"/>
  <c r="G254" i="29"/>
  <c r="G244" i="29"/>
  <c r="G243" i="29"/>
  <c r="G242" i="29"/>
  <c r="G230" i="29"/>
  <c r="G226" i="29"/>
  <c r="G213" i="29"/>
  <c r="G200" i="29"/>
  <c r="G194" i="29"/>
  <c r="G188" i="29"/>
  <c r="G182" i="29"/>
  <c r="G174" i="29"/>
  <c r="G173" i="29"/>
  <c r="G170" i="29"/>
  <c r="G149" i="29"/>
  <c r="G140" i="29"/>
  <c r="G112" i="29"/>
  <c r="G104" i="29"/>
  <c r="G102" i="29"/>
  <c r="G97" i="29"/>
  <c r="G93" i="29"/>
  <c r="G92" i="29"/>
  <c r="G88" i="29"/>
  <c r="G86" i="29"/>
  <c r="G73" i="29"/>
  <c r="G70" i="29"/>
  <c r="G69" i="29"/>
  <c r="G63" i="29"/>
  <c r="G57" i="29"/>
  <c r="G52" i="29"/>
  <c r="G51" i="29"/>
  <c r="G47" i="29"/>
  <c r="G46" i="29"/>
  <c r="G39" i="29"/>
  <c r="G19" i="29"/>
  <c r="G440" i="29"/>
  <c r="G439" i="29"/>
  <c r="G437" i="29"/>
  <c r="G435" i="29"/>
  <c r="G434" i="29"/>
  <c r="G432" i="29"/>
  <c r="G431" i="29"/>
  <c r="G430" i="29"/>
  <c r="G428" i="29"/>
  <c r="G423" i="29"/>
  <c r="G420" i="29"/>
  <c r="G417" i="29"/>
  <c r="G413" i="29"/>
  <c r="G411" i="29"/>
  <c r="G409" i="29"/>
  <c r="G408" i="29"/>
  <c r="G406" i="29"/>
  <c r="G405" i="29"/>
  <c r="G404" i="29"/>
  <c r="G403" i="29"/>
  <c r="G401" i="29"/>
  <c r="G396" i="29"/>
  <c r="G393" i="29"/>
  <c r="G388" i="29"/>
  <c r="G387" i="29"/>
  <c r="G378" i="29"/>
  <c r="G377" i="29"/>
  <c r="G376" i="29"/>
  <c r="G375" i="29"/>
  <c r="G374" i="29"/>
  <c r="G372" i="29"/>
  <c r="G370" i="29"/>
  <c r="G366" i="29"/>
  <c r="G365" i="29"/>
  <c r="G364" i="29"/>
  <c r="G363" i="29"/>
  <c r="G362" i="29"/>
  <c r="G359" i="29"/>
  <c r="G358" i="29"/>
  <c r="G354" i="29"/>
  <c r="G353" i="29"/>
  <c r="G350" i="29"/>
  <c r="G348" i="29"/>
  <c r="G345" i="29"/>
  <c r="G344" i="29"/>
  <c r="G341" i="29"/>
  <c r="G340" i="29"/>
  <c r="G337" i="29"/>
  <c r="G336" i="29"/>
  <c r="G335" i="29"/>
  <c r="G334" i="29"/>
  <c r="G333" i="29"/>
  <c r="G329" i="29"/>
  <c r="G328" i="29"/>
  <c r="G327" i="29"/>
  <c r="G326" i="29"/>
  <c r="G325" i="29"/>
  <c r="G324" i="29"/>
  <c r="G322" i="29"/>
  <c r="G321" i="29"/>
  <c r="G320" i="29"/>
  <c r="G319" i="29"/>
  <c r="G318" i="29"/>
  <c r="G317" i="29"/>
  <c r="G315" i="29"/>
  <c r="G314" i="29"/>
  <c r="G313" i="29"/>
  <c r="G304" i="29"/>
  <c r="G298" i="29"/>
  <c r="G294" i="29"/>
  <c r="G292" i="29"/>
  <c r="G291" i="29"/>
  <c r="G290" i="29"/>
  <c r="G288" i="29"/>
  <c r="G285" i="29"/>
  <c r="G280" i="29"/>
  <c r="G274" i="29"/>
  <c r="G264" i="29"/>
  <c r="G262" i="29"/>
  <c r="G256" i="29"/>
  <c r="G255" i="29"/>
  <c r="G253" i="29"/>
  <c r="G252" i="29"/>
  <c r="G239" i="29"/>
  <c r="G227" i="29"/>
  <c r="G222" i="29"/>
  <c r="G221" i="29"/>
  <c r="G220" i="29"/>
  <c r="G210" i="29"/>
  <c r="G201" i="29"/>
  <c r="G199" i="29"/>
  <c r="G198" i="29"/>
  <c r="G195" i="29"/>
  <c r="G193" i="29"/>
  <c r="G192" i="29"/>
  <c r="G189" i="29"/>
  <c r="G187" i="29"/>
  <c r="G186" i="29"/>
  <c r="G183" i="29"/>
  <c r="G181" i="29"/>
  <c r="G180" i="29"/>
  <c r="G169" i="29"/>
  <c r="G163" i="29"/>
  <c r="G157" i="29"/>
  <c r="G156" i="29"/>
  <c r="G150" i="29"/>
  <c r="G148" i="29"/>
  <c r="G145" i="29"/>
  <c r="G139" i="29"/>
  <c r="G137" i="29"/>
  <c r="G128" i="29"/>
  <c r="G121" i="29"/>
  <c r="G117" i="29"/>
  <c r="G115" i="29"/>
  <c r="G111" i="29"/>
  <c r="G107" i="29"/>
  <c r="G105" i="29"/>
  <c r="G101" i="29"/>
  <c r="G96" i="29"/>
  <c r="G95" i="29"/>
  <c r="G94" i="29"/>
  <c r="G91" i="29"/>
  <c r="G90" i="29"/>
  <c r="G89" i="29"/>
  <c r="G87" i="29"/>
  <c r="G85" i="29"/>
  <c r="G84" i="29"/>
  <c r="G83" i="29"/>
  <c r="G81" i="29"/>
  <c r="G80" i="29"/>
  <c r="G76" i="29"/>
  <c r="G72" i="29"/>
  <c r="G71" i="29"/>
  <c r="G68" i="29"/>
  <c r="G64" i="29"/>
  <c r="G58" i="29"/>
  <c r="G55" i="29"/>
  <c r="G50" i="29"/>
  <c r="G49" i="29"/>
  <c r="G45" i="29"/>
  <c r="G44" i="29"/>
  <c r="G42" i="29"/>
  <c r="G38" i="29"/>
  <c r="G34" i="29"/>
  <c r="G33" i="29"/>
  <c r="G32" i="29"/>
  <c r="G27" i="29"/>
  <c r="G26" i="29"/>
  <c r="G22" i="29"/>
  <c r="G18" i="29"/>
  <c r="G15" i="29"/>
  <c r="G14" i="29"/>
  <c r="G10" i="29"/>
  <c r="G8" i="29"/>
  <c r="G7" i="29"/>
  <c r="G4" i="29"/>
  <c r="G3" i="29"/>
  <c r="G438" i="29"/>
  <c r="G399" i="29"/>
  <c r="G398" i="29"/>
  <c r="G397" i="29"/>
  <c r="G394" i="29"/>
  <c r="G392" i="29"/>
  <c r="G391" i="29"/>
  <c r="G386" i="29"/>
  <c r="G385" i="29"/>
  <c r="G384" i="29"/>
  <c r="G310" i="29"/>
  <c r="G309" i="29"/>
  <c r="G308" i="29"/>
  <c r="G307" i="29"/>
  <c r="G306" i="29"/>
  <c r="G249" i="29"/>
  <c r="G248" i="29"/>
  <c r="G247" i="29"/>
  <c r="G219" i="29"/>
  <c r="G216" i="29"/>
  <c r="G167" i="29"/>
  <c r="G166" i="29"/>
  <c r="G165" i="29"/>
  <c r="G433" i="29"/>
  <c r="G426" i="29"/>
  <c r="G425" i="29"/>
  <c r="G424" i="29"/>
  <c r="G416" i="29"/>
  <c r="G415" i="29"/>
  <c r="G414" i="29"/>
  <c r="G400" i="29"/>
  <c r="G389" i="29"/>
  <c r="G383" i="29"/>
  <c r="G371" i="29"/>
  <c r="G361" i="29"/>
  <c r="G360" i="29"/>
  <c r="G357" i="29"/>
  <c r="G356" i="29"/>
  <c r="G355" i="29"/>
  <c r="G352" i="29"/>
  <c r="G351" i="29"/>
  <c r="G347" i="29"/>
  <c r="G346" i="29"/>
  <c r="G343" i="29"/>
  <c r="G342" i="29"/>
  <c r="G339" i="29"/>
  <c r="G338" i="29"/>
  <c r="G332" i="29"/>
  <c r="G331" i="29"/>
  <c r="G311" i="29"/>
  <c r="G300" i="29"/>
  <c r="G299" i="29"/>
  <c r="G296" i="29"/>
  <c r="G295" i="29"/>
  <c r="G287" i="29"/>
  <c r="G286" i="29"/>
  <c r="G281" i="29"/>
  <c r="G279" i="29"/>
  <c r="G276" i="29"/>
  <c r="G269" i="29"/>
  <c r="G268" i="29"/>
  <c r="G251" i="29"/>
  <c r="G250" i="29"/>
  <c r="G236" i="29"/>
  <c r="G235" i="29"/>
  <c r="G229" i="29"/>
  <c r="G225" i="29"/>
  <c r="G218" i="29"/>
  <c r="G217" i="29"/>
  <c r="G215" i="29"/>
  <c r="G214" i="29"/>
  <c r="G207" i="29"/>
  <c r="G206" i="29"/>
  <c r="G205" i="29"/>
  <c r="G204" i="29"/>
  <c r="G203" i="29"/>
  <c r="G202" i="29"/>
  <c r="G197" i="29"/>
  <c r="G196" i="29"/>
  <c r="G191" i="29"/>
  <c r="G190" i="29"/>
  <c r="G185" i="29"/>
  <c r="G184" i="29"/>
  <c r="G179" i="29"/>
  <c r="G178" i="29"/>
  <c r="G172" i="29"/>
  <c r="G171" i="29"/>
  <c r="G159" i="29"/>
  <c r="G158" i="29"/>
  <c r="G152" i="29"/>
  <c r="G151" i="29"/>
  <c r="G144" i="29"/>
  <c r="G143" i="29"/>
  <c r="G142" i="29"/>
  <c r="G129" i="29"/>
  <c r="G123" i="29"/>
  <c r="G122" i="29"/>
  <c r="G119" i="29"/>
  <c r="G118" i="29"/>
  <c r="G103" i="29"/>
  <c r="G99" i="29"/>
  <c r="G98" i="29"/>
  <c r="G82" i="29"/>
  <c r="G79" i="29"/>
  <c r="G78" i="29"/>
  <c r="G77" i="29"/>
  <c r="G67" i="29"/>
  <c r="G66" i="29"/>
  <c r="G61" i="29"/>
  <c r="G60" i="29"/>
  <c r="G54" i="29"/>
  <c r="G53" i="29"/>
  <c r="G48" i="29"/>
  <c r="G37" i="29"/>
  <c r="G36" i="29"/>
  <c r="G35" i="29"/>
  <c r="G28" i="29"/>
  <c r="G23" i="29"/>
  <c r="G21" i="29"/>
  <c r="G20" i="29"/>
  <c r="G17" i="29"/>
  <c r="G16" i="29"/>
  <c r="G11" i="29"/>
  <c r="G6" i="29"/>
  <c r="G2" i="29"/>
  <c r="G436" i="29"/>
  <c r="G422" i="29"/>
  <c r="G421" i="29"/>
  <c r="G412" i="29"/>
  <c r="G410" i="29"/>
  <c r="G402" i="29"/>
  <c r="G395" i="29"/>
  <c r="G381" i="29"/>
  <c r="G380" i="29"/>
  <c r="G373" i="29"/>
  <c r="G369" i="29"/>
  <c r="G368" i="29"/>
  <c r="G316" i="29"/>
  <c r="G312" i="29"/>
  <c r="G305" i="29"/>
  <c r="G303" i="29"/>
  <c r="G302" i="29"/>
  <c r="G301" i="29"/>
  <c r="G289" i="29"/>
  <c r="G284" i="29"/>
  <c r="G283" i="29"/>
  <c r="G282" i="29"/>
  <c r="G278" i="29"/>
  <c r="G277" i="29"/>
  <c r="G273" i="29"/>
  <c r="G272" i="29"/>
  <c r="G271" i="29"/>
  <c r="G270" i="29"/>
  <c r="G267" i="29"/>
  <c r="G266" i="29"/>
  <c r="G263" i="29"/>
  <c r="G261" i="29"/>
  <c r="G260" i="29"/>
  <c r="G258" i="29"/>
  <c r="G257" i="29"/>
  <c r="G246" i="29"/>
  <c r="G245" i="29"/>
  <c r="G241" i="29"/>
  <c r="G240" i="29"/>
  <c r="G238" i="29"/>
  <c r="G237" i="29"/>
  <c r="G234" i="29"/>
  <c r="G233" i="29"/>
  <c r="G232" i="29"/>
  <c r="G231" i="29"/>
  <c r="G228" i="29"/>
  <c r="G224" i="29"/>
  <c r="G223" i="29"/>
  <c r="G212" i="29"/>
  <c r="G211" i="29"/>
  <c r="G209" i="29"/>
  <c r="G208" i="29"/>
  <c r="G177" i="29"/>
  <c r="G176" i="29"/>
  <c r="G175" i="29"/>
  <c r="G168" i="29"/>
  <c r="G164" i="29"/>
  <c r="G162" i="29"/>
  <c r="G161" i="29"/>
  <c r="G160" i="29"/>
  <c r="G155" i="29"/>
  <c r="G154" i="29"/>
  <c r="G153" i="29"/>
  <c r="G147" i="29"/>
  <c r="G146" i="29"/>
  <c r="G141" i="29"/>
  <c r="G138" i="29"/>
  <c r="G136" i="29"/>
  <c r="G135" i="29"/>
  <c r="G134" i="29"/>
  <c r="G133" i="29"/>
  <c r="G132" i="29"/>
  <c r="G131" i="29"/>
  <c r="G130" i="29"/>
  <c r="G127" i="29"/>
  <c r="G126" i="29"/>
  <c r="G125" i="29"/>
  <c r="G124" i="29"/>
  <c r="G120" i="29"/>
  <c r="G116" i="29"/>
  <c r="G114" i="29"/>
  <c r="G113" i="29"/>
  <c r="G110" i="29"/>
  <c r="G109" i="29"/>
  <c r="G108" i="29"/>
  <c r="G106" i="29"/>
  <c r="G100" i="29"/>
  <c r="G75" i="29"/>
  <c r="G74" i="29"/>
  <c r="G65" i="29"/>
  <c r="G62" i="29"/>
  <c r="G59" i="29"/>
  <c r="G56" i="29"/>
  <c r="G43" i="29"/>
  <c r="G41" i="29"/>
  <c r="G40" i="29"/>
  <c r="G31" i="29"/>
  <c r="G30" i="29"/>
  <c r="G29" i="29"/>
  <c r="G25" i="29"/>
  <c r="G24" i="29"/>
  <c r="G13" i="29"/>
  <c r="G12" i="29"/>
  <c r="G9" i="29"/>
  <c r="AE7" i="29" l="1"/>
  <c r="AE6" i="29"/>
  <c r="AE5" i="29"/>
  <c r="AE4" i="29"/>
  <c r="AE3" i="29"/>
  <c r="AD7" i="29"/>
  <c r="AD6" i="29"/>
  <c r="AD5" i="29"/>
  <c r="AD4" i="29"/>
  <c r="AD3" i="29"/>
  <c r="U4" i="5"/>
  <c r="U5" i="5"/>
  <c r="U6" i="5"/>
  <c r="U7" i="5"/>
  <c r="U8" i="5"/>
  <c r="U9" i="5"/>
  <c r="U10" i="5"/>
  <c r="U11" i="5"/>
  <c r="U12" i="5"/>
  <c r="U13" i="5"/>
  <c r="U3" i="5"/>
  <c r="T13" i="5"/>
  <c r="T12" i="5"/>
  <c r="T11" i="5"/>
  <c r="T10" i="5"/>
  <c r="T9" i="5"/>
  <c r="T8" i="5"/>
  <c r="T7" i="5"/>
  <c r="T6" i="5"/>
  <c r="T5" i="5"/>
  <c r="T4" i="5"/>
  <c r="T3" i="5"/>
  <c r="C15" i="6" l="1"/>
  <c r="C18" i="6"/>
  <c r="B1" i="7" l="1"/>
  <c r="B26" i="7" l="1"/>
  <c r="B64" i="7"/>
  <c r="R5" i="5" s="1"/>
  <c r="B68" i="7"/>
  <c r="R9" i="5" s="1"/>
  <c r="B72" i="7"/>
  <c r="R13" i="5" s="1"/>
  <c r="B20" i="7"/>
  <c r="B65" i="7"/>
  <c r="R6" i="5" s="1"/>
  <c r="B69" i="7"/>
  <c r="R10" i="5" s="1"/>
  <c r="B62" i="7"/>
  <c r="R3" i="5" s="1"/>
  <c r="B19" i="7"/>
  <c r="B66" i="7"/>
  <c r="R7" i="5" s="1"/>
  <c r="B70" i="7"/>
  <c r="R11" i="5" s="1"/>
  <c r="B22" i="7"/>
  <c r="B18" i="7"/>
  <c r="B63" i="7"/>
  <c r="R4" i="5" s="1"/>
  <c r="B67" i="7"/>
  <c r="R8" i="5" s="1"/>
  <c r="B71" i="7"/>
  <c r="R12" i="5" s="1"/>
  <c r="B21" i="7"/>
  <c r="B14" i="7"/>
  <c r="B17" i="7"/>
  <c r="B16" i="7"/>
  <c r="B15" i="7"/>
  <c r="B51" i="7"/>
  <c r="B13" i="7"/>
  <c r="B12" i="7"/>
  <c r="B11" i="7"/>
  <c r="B34" i="7"/>
  <c r="B38" i="7"/>
  <c r="B50" i="7"/>
  <c r="B55" i="7"/>
  <c r="B27" i="7"/>
  <c r="B35" i="7"/>
  <c r="B43" i="7"/>
  <c r="B47" i="7"/>
  <c r="B56" i="7"/>
  <c r="B24" i="7"/>
  <c r="B28" i="7"/>
  <c r="B32" i="7"/>
  <c r="B36" i="7"/>
  <c r="B40" i="7"/>
  <c r="B44" i="7"/>
  <c r="B48" i="7"/>
  <c r="B53" i="7"/>
  <c r="B57" i="7"/>
  <c r="B30" i="7"/>
  <c r="B42" i="7"/>
  <c r="B46" i="7"/>
  <c r="B59" i="7"/>
  <c r="B23" i="7"/>
  <c r="B31" i="7"/>
  <c r="B39" i="7"/>
  <c r="B52" i="7"/>
  <c r="B60" i="7"/>
  <c r="B61" i="7"/>
  <c r="B25" i="7"/>
  <c r="B29" i="7"/>
  <c r="B33" i="7"/>
  <c r="B37" i="7"/>
  <c r="B41" i="7"/>
  <c r="B45" i="7"/>
  <c r="B49" i="7"/>
  <c r="B54" i="7"/>
  <c r="B58" i="7"/>
  <c r="H69" i="14"/>
  <c r="F181" i="5"/>
  <c r="C7" i="6" l="1"/>
  <c r="E15" i="8" s="1"/>
  <c r="C6" i="6" l="1"/>
  <c r="E13" i="12"/>
  <c r="C9" i="13"/>
  <c r="C8" i="13"/>
  <c r="D4" i="24"/>
  <c r="D5" i="24"/>
  <c r="D5" i="34"/>
  <c r="D4" i="34"/>
  <c r="D45" i="34"/>
  <c r="D4" i="23"/>
  <c r="D5" i="23"/>
  <c r="AB5" i="29"/>
  <c r="AC2" i="29"/>
  <c r="AE2" i="29"/>
  <c r="AD2" i="29"/>
  <c r="AB4" i="29"/>
  <c r="D24" i="6"/>
  <c r="E10" i="23"/>
  <c r="AB7" i="29"/>
  <c r="AB3" i="29"/>
  <c r="AB6" i="29"/>
  <c r="G37" i="34"/>
  <c r="G31" i="34"/>
  <c r="G25" i="34"/>
  <c r="G19" i="34"/>
  <c r="G13" i="34"/>
  <c r="D39" i="34"/>
  <c r="D33" i="34"/>
  <c r="D27" i="34"/>
  <c r="D21" i="34"/>
  <c r="D13" i="34"/>
  <c r="G36" i="34"/>
  <c r="G10" i="34"/>
  <c r="D20" i="34"/>
  <c r="T2" i="5"/>
  <c r="G26" i="34"/>
  <c r="D40" i="34"/>
  <c r="D28" i="34"/>
  <c r="D9" i="1"/>
  <c r="G40" i="34"/>
  <c r="G34" i="34"/>
  <c r="G30" i="34"/>
  <c r="G24" i="34"/>
  <c r="G18" i="34"/>
  <c r="G12" i="34"/>
  <c r="D38" i="34"/>
  <c r="D30" i="34"/>
  <c r="D26" i="34"/>
  <c r="D18" i="34"/>
  <c r="D12" i="34"/>
  <c r="G29" i="34"/>
  <c r="D37" i="34"/>
  <c r="D15" i="34"/>
  <c r="S2" i="5"/>
  <c r="G32" i="34"/>
  <c r="G14" i="34"/>
  <c r="D22" i="34"/>
  <c r="D25" i="34"/>
  <c r="G39" i="34"/>
  <c r="G33" i="34"/>
  <c r="G27" i="34"/>
  <c r="G23" i="34"/>
  <c r="G17" i="34"/>
  <c r="G11" i="34"/>
  <c r="D35" i="34"/>
  <c r="D29" i="34"/>
  <c r="D23" i="34"/>
  <c r="D17" i="34"/>
  <c r="D11" i="34"/>
  <c r="G22" i="34"/>
  <c r="D32" i="34"/>
  <c r="D10" i="34"/>
  <c r="G38" i="34"/>
  <c r="G20" i="34"/>
  <c r="D34" i="34"/>
  <c r="D16" i="34"/>
  <c r="G16" i="34"/>
  <c r="U2" i="5"/>
  <c r="C3" i="12"/>
  <c r="H3" i="6"/>
  <c r="H41" i="6"/>
  <c r="D41" i="6"/>
  <c r="D40" i="6"/>
  <c r="D38" i="6"/>
  <c r="D34" i="6"/>
  <c r="D32" i="6"/>
  <c r="D9" i="6"/>
  <c r="D22" i="6"/>
  <c r="D26" i="6"/>
  <c r="D18" i="6"/>
  <c r="D13" i="6"/>
  <c r="D15" i="6"/>
  <c r="D12" i="6"/>
  <c r="H13" i="6"/>
  <c r="D11" i="6"/>
  <c r="H11" i="6"/>
  <c r="C4" i="6"/>
  <c r="E69" i="14"/>
  <c r="O56" i="5" l="1"/>
  <c r="H7" i="13" l="1"/>
  <c r="J6" i="14"/>
  <c r="J6" i="18"/>
  <c r="J6" i="17"/>
  <c r="I12" i="14"/>
  <c r="J6" i="8"/>
  <c r="J6" i="19"/>
  <c r="J6" i="16"/>
  <c r="J6" i="21"/>
  <c r="J6" i="1"/>
  <c r="J6" i="20"/>
  <c r="J6" i="10"/>
  <c r="J6" i="12"/>
  <c r="C19" i="13"/>
  <c r="C5" i="13"/>
  <c r="C3" i="14"/>
  <c r="C3" i="13"/>
  <c r="C7" i="13"/>
  <c r="I7" i="13"/>
  <c r="F7" i="13"/>
  <c r="J7" i="13"/>
  <c r="L7" i="13"/>
  <c r="G7" i="13"/>
  <c r="K7" i="13"/>
  <c r="D9" i="32"/>
  <c r="N7" i="32"/>
  <c r="N6" i="32"/>
  <c r="T11" i="32"/>
  <c r="D7" i="32"/>
  <c r="T9" i="32"/>
  <c r="H9" i="32"/>
  <c r="D4" i="32"/>
  <c r="H7" i="32"/>
  <c r="D24" i="32"/>
  <c r="H6" i="32"/>
  <c r="D6" i="32"/>
  <c r="H24" i="32"/>
  <c r="C3" i="10"/>
  <c r="O13" i="32"/>
  <c r="O12" i="32"/>
  <c r="O11" i="32"/>
  <c r="O10" i="32"/>
  <c r="H53" i="12"/>
  <c r="H52" i="12"/>
  <c r="H50" i="12"/>
  <c r="H49" i="12"/>
  <c r="H47" i="12"/>
  <c r="H46" i="12"/>
  <c r="H45" i="12"/>
  <c r="H44" i="12"/>
  <c r="H39" i="12"/>
  <c r="H38" i="12"/>
  <c r="H36" i="12"/>
  <c r="H35" i="12"/>
  <c r="H34" i="12"/>
  <c r="H33" i="12"/>
  <c r="H32" i="12"/>
  <c r="H31" i="12"/>
  <c r="H30" i="12"/>
  <c r="H28" i="12"/>
  <c r="H27" i="12"/>
  <c r="H22" i="12"/>
  <c r="H20" i="12"/>
  <c r="H19" i="12"/>
  <c r="H18" i="12"/>
  <c r="H16" i="12"/>
  <c r="H15" i="12"/>
  <c r="H14" i="12"/>
  <c r="H13" i="12" l="1"/>
  <c r="F26" i="6"/>
  <c r="C26" i="6" l="1"/>
  <c r="H74" i="14" l="1"/>
  <c r="H73" i="14"/>
  <c r="H72" i="14"/>
  <c r="H70" i="14"/>
  <c r="H68" i="14"/>
  <c r="H67" i="14"/>
  <c r="H60" i="14"/>
  <c r="H59" i="14"/>
  <c r="H58" i="14"/>
  <c r="H57" i="14"/>
  <c r="H56" i="14"/>
  <c r="H54" i="14"/>
  <c r="H53" i="14"/>
  <c r="H52" i="14"/>
  <c r="H51" i="14"/>
  <c r="H50" i="14"/>
  <c r="H49" i="14"/>
  <c r="H47" i="14"/>
  <c r="H46" i="14"/>
  <c r="H41" i="14"/>
  <c r="H40" i="14"/>
  <c r="H39" i="14"/>
  <c r="H38" i="14"/>
  <c r="H36" i="14"/>
  <c r="H35" i="14"/>
  <c r="H34" i="14"/>
  <c r="H33" i="14"/>
  <c r="H32" i="14"/>
  <c r="H31" i="14"/>
  <c r="H29" i="14"/>
  <c r="H28" i="14"/>
  <c r="H23" i="14"/>
  <c r="H21" i="14"/>
  <c r="H20" i="14"/>
  <c r="H19" i="14"/>
  <c r="H18" i="14"/>
  <c r="H17" i="14"/>
  <c r="H16" i="14"/>
  <c r="H74" i="16"/>
  <c r="H73" i="16"/>
  <c r="H72" i="16"/>
  <c r="H70" i="16"/>
  <c r="H69" i="16"/>
  <c r="H68" i="16"/>
  <c r="H67" i="16"/>
  <c r="H60" i="16"/>
  <c r="H59" i="16"/>
  <c r="H58" i="16"/>
  <c r="H57" i="16"/>
  <c r="H55" i="16"/>
  <c r="H54" i="16"/>
  <c r="H53" i="16"/>
  <c r="H51" i="16"/>
  <c r="H50" i="16"/>
  <c r="H45" i="16"/>
  <c r="H44" i="16"/>
  <c r="H42" i="16"/>
  <c r="H41" i="16"/>
  <c r="H34" i="16"/>
  <c r="H32" i="16"/>
  <c r="H30" i="16"/>
  <c r="H25" i="16"/>
  <c r="H24" i="16"/>
  <c r="H23" i="16"/>
  <c r="H21" i="16"/>
  <c r="H20" i="16"/>
  <c r="H19" i="16"/>
  <c r="H18" i="16"/>
  <c r="H17" i="16"/>
  <c r="H71" i="20"/>
  <c r="H70" i="20"/>
  <c r="H69" i="20"/>
  <c r="H67" i="20"/>
  <c r="H66" i="20"/>
  <c r="H65" i="20"/>
  <c r="H64" i="20"/>
  <c r="H57" i="20"/>
  <c r="H56" i="20"/>
  <c r="H54" i="20"/>
  <c r="H53" i="20"/>
  <c r="H51" i="20"/>
  <c r="H46" i="20"/>
  <c r="H45" i="20"/>
  <c r="H43" i="20"/>
  <c r="H42" i="20"/>
  <c r="H40" i="20"/>
  <c r="H39" i="20"/>
  <c r="H34" i="20"/>
  <c r="H33" i="20"/>
  <c r="H31" i="20"/>
  <c r="H30" i="20"/>
  <c r="H28" i="20"/>
  <c r="H27" i="20"/>
  <c r="H22" i="20"/>
  <c r="H21" i="20"/>
  <c r="H19" i="20"/>
  <c r="H18" i="20"/>
  <c r="H16" i="20"/>
  <c r="H55" i="19"/>
  <c r="H54" i="19"/>
  <c r="H53" i="19"/>
  <c r="H51" i="19"/>
  <c r="H50" i="19"/>
  <c r="H49" i="19"/>
  <c r="H48" i="19"/>
  <c r="H41" i="19"/>
  <c r="H40" i="19"/>
  <c r="H39" i="19"/>
  <c r="H38" i="19"/>
  <c r="H37" i="19"/>
  <c r="H35" i="19"/>
  <c r="H34" i="19"/>
  <c r="H33" i="19"/>
  <c r="H32" i="19"/>
  <c r="H31" i="19"/>
  <c r="H30" i="19"/>
  <c r="H29" i="19"/>
  <c r="H27" i="19"/>
  <c r="H26" i="19"/>
  <c r="H21" i="19"/>
  <c r="H19" i="19"/>
  <c r="H18" i="19"/>
  <c r="H17" i="19"/>
  <c r="H16" i="19"/>
  <c r="H14" i="19"/>
  <c r="H66" i="18"/>
  <c r="H65" i="18"/>
  <c r="H64" i="18"/>
  <c r="H62" i="18"/>
  <c r="H61" i="18"/>
  <c r="H60" i="18"/>
  <c r="H59" i="18"/>
  <c r="H52" i="18"/>
  <c r="H51" i="18"/>
  <c r="H50" i="18"/>
  <c r="H49" i="18"/>
  <c r="H47" i="18"/>
  <c r="H46" i="18"/>
  <c r="H45" i="18"/>
  <c r="H43" i="18"/>
  <c r="H42" i="18"/>
  <c r="H41" i="18"/>
  <c r="H36" i="18"/>
  <c r="H35" i="18"/>
  <c r="H33" i="18"/>
  <c r="H32" i="18"/>
  <c r="H31" i="18"/>
  <c r="H30" i="18"/>
  <c r="H29" i="18"/>
  <c r="H27" i="18"/>
  <c r="H26" i="18"/>
  <c r="H21" i="18"/>
  <c r="H20" i="18"/>
  <c r="H19" i="18"/>
  <c r="H17" i="18"/>
  <c r="H16" i="18"/>
  <c r="H64" i="17"/>
  <c r="H63" i="17"/>
  <c r="H62" i="17"/>
  <c r="H60" i="17"/>
  <c r="H59" i="17"/>
  <c r="H58" i="17"/>
  <c r="H57" i="17"/>
  <c r="H50" i="17"/>
  <c r="H49" i="17"/>
  <c r="H48" i="17"/>
  <c r="H47" i="17"/>
  <c r="H46" i="17"/>
  <c r="H44" i="17"/>
  <c r="H43" i="17"/>
  <c r="H42" i="17"/>
  <c r="H35" i="17"/>
  <c r="H34" i="17"/>
  <c r="H33" i="17"/>
  <c r="H32" i="17"/>
  <c r="H30" i="17"/>
  <c r="H29" i="17"/>
  <c r="H28" i="17"/>
  <c r="H27" i="17"/>
  <c r="H25" i="17"/>
  <c r="H24" i="17"/>
  <c r="H19" i="17"/>
  <c r="H17" i="17"/>
  <c r="H16" i="17"/>
  <c r="H59" i="21"/>
  <c r="H58" i="21"/>
  <c r="H57" i="21"/>
  <c r="H55" i="21"/>
  <c r="H54" i="21"/>
  <c r="H53" i="21"/>
  <c r="H52" i="21"/>
  <c r="H45" i="21"/>
  <c r="H44" i="21"/>
  <c r="H43" i="21"/>
  <c r="H42" i="21"/>
  <c r="H40" i="21"/>
  <c r="H39" i="21"/>
  <c r="H38" i="21"/>
  <c r="H37" i="21"/>
  <c r="H36" i="21"/>
  <c r="H34" i="21"/>
  <c r="H33" i="21"/>
  <c r="H32" i="21"/>
  <c r="H31" i="21"/>
  <c r="H26" i="21"/>
  <c r="H25" i="21"/>
  <c r="H24" i="21"/>
  <c r="H23" i="21"/>
  <c r="H22" i="21"/>
  <c r="H20" i="21"/>
  <c r="H19" i="21"/>
  <c r="H18" i="21"/>
  <c r="H17" i="21"/>
  <c r="H15" i="21"/>
  <c r="H14" i="21"/>
  <c r="H49" i="10"/>
  <c r="H48" i="10"/>
  <c r="H47" i="10"/>
  <c r="H45" i="10"/>
  <c r="H44" i="10"/>
  <c r="H43" i="10"/>
  <c r="H42" i="10"/>
  <c r="H35" i="10"/>
  <c r="H34" i="10"/>
  <c r="H32" i="10"/>
  <c r="H31" i="10"/>
  <c r="H30" i="10"/>
  <c r="H28" i="10"/>
  <c r="H27" i="10"/>
  <c r="H26" i="10"/>
  <c r="H21" i="10"/>
  <c r="H19" i="10"/>
  <c r="H18" i="10"/>
  <c r="H17" i="10"/>
  <c r="H15" i="10"/>
  <c r="H14" i="10"/>
  <c r="H72" i="8"/>
  <c r="H71" i="8"/>
  <c r="H70" i="8"/>
  <c r="H68" i="8"/>
  <c r="H67" i="8"/>
  <c r="H66" i="8"/>
  <c r="H65" i="8"/>
  <c r="H58" i="8"/>
  <c r="H57" i="8"/>
  <c r="H55" i="8"/>
  <c r="H54" i="8"/>
  <c r="H52" i="8"/>
  <c r="H51" i="8"/>
  <c r="H46" i="8"/>
  <c r="H45" i="8"/>
  <c r="H44" i="8"/>
  <c r="H42" i="8"/>
  <c r="H40" i="8"/>
  <c r="H39" i="8"/>
  <c r="H34" i="8"/>
  <c r="H33" i="8"/>
  <c r="H32" i="8"/>
  <c r="H30" i="8"/>
  <c r="H29" i="8"/>
  <c r="H27" i="8"/>
  <c r="H22" i="8"/>
  <c r="H21" i="8"/>
  <c r="H20" i="8"/>
  <c r="H18" i="8"/>
  <c r="H17" i="8"/>
  <c r="H14" i="14"/>
  <c r="H15" i="16"/>
  <c r="H15" i="20"/>
  <c r="H13" i="19"/>
  <c r="H14" i="18"/>
  <c r="H14" i="17"/>
  <c r="H13" i="21"/>
  <c r="H13" i="10"/>
  <c r="H15" i="8"/>
  <c r="J28" i="6"/>
  <c r="J27" i="6"/>
  <c r="J31" i="6"/>
  <c r="J29" i="6"/>
  <c r="F31" i="6"/>
  <c r="F29" i="6"/>
  <c r="J30" i="6"/>
  <c r="F30" i="6"/>
  <c r="F28" i="6"/>
  <c r="G31" i="6" l="1"/>
  <c r="G30" i="6"/>
  <c r="G29" i="6"/>
  <c r="G28" i="6"/>
  <c r="G27" i="6"/>
  <c r="C31" i="6"/>
  <c r="C30" i="6"/>
  <c r="C29" i="6"/>
  <c r="C28" i="6"/>
  <c r="H24" i="1"/>
  <c r="H23" i="1"/>
  <c r="H22" i="1"/>
  <c r="H21" i="1"/>
  <c r="H19" i="1"/>
  <c r="H18" i="1"/>
  <c r="H17" i="1"/>
  <c r="H16" i="1"/>
  <c r="H14" i="1"/>
  <c r="H13" i="1"/>
  <c r="H36" i="1"/>
  <c r="H35" i="1"/>
  <c r="H34" i="1"/>
  <c r="H32" i="1"/>
  <c r="H31" i="1"/>
  <c r="H49" i="1"/>
  <c r="H48" i="1"/>
  <c r="H46" i="1"/>
  <c r="H45" i="1"/>
  <c r="H44" i="1"/>
  <c r="H43" i="1"/>
  <c r="H50" i="1"/>
  <c r="F215" i="5" l="1"/>
  <c r="F216" i="5"/>
  <c r="F217" i="5"/>
  <c r="F218" i="5"/>
  <c r="F219" i="5"/>
  <c r="F220" i="5"/>
  <c r="F221" i="5"/>
  <c r="F222" i="5"/>
  <c r="F223" i="5"/>
  <c r="F224" i="5"/>
  <c r="F225" i="5"/>
  <c r="F226" i="5"/>
  <c r="F227" i="5"/>
  <c r="F228" i="5"/>
  <c r="F229" i="5"/>
  <c r="F230" i="5"/>
  <c r="F231" i="5"/>
  <c r="F232" i="5"/>
  <c r="F233" i="5"/>
  <c r="F234" i="5"/>
  <c r="F23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2" i="5"/>
  <c r="F3" i="5"/>
  <c r="F4" i="5"/>
  <c r="F5" i="5"/>
  <c r="F6" i="5"/>
  <c r="F7" i="5"/>
  <c r="F8" i="5"/>
  <c r="F9" i="5"/>
  <c r="F10" i="5"/>
  <c r="F11" i="5"/>
  <c r="F12" i="5"/>
  <c r="F13" i="5"/>
  <c r="F14" i="5"/>
  <c r="F15" i="5"/>
  <c r="F16" i="5"/>
  <c r="F17" i="5"/>
  <c r="F18" i="5"/>
  <c r="F19" i="5"/>
  <c r="F20" i="5"/>
  <c r="F21" i="5"/>
  <c r="F22" i="5"/>
  <c r="F23"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214" i="5"/>
  <c r="G181" i="5" l="1"/>
  <c r="G102" i="5"/>
  <c r="G180" i="5"/>
  <c r="G172" i="5"/>
  <c r="G156" i="5"/>
  <c r="G148" i="5"/>
  <c r="G54" i="5"/>
  <c r="G110" i="5"/>
  <c r="G94" i="5"/>
  <c r="G164" i="5"/>
  <c r="G113" i="5"/>
  <c r="G109" i="5"/>
  <c r="G105" i="5"/>
  <c r="G101" i="5"/>
  <c r="G46" i="5"/>
  <c r="G38" i="5"/>
  <c r="G30" i="5"/>
  <c r="G325" i="5"/>
  <c r="G317" i="5"/>
  <c r="G309" i="5"/>
  <c r="G301" i="5"/>
  <c r="G138" i="5"/>
  <c r="G130" i="5"/>
  <c r="G122" i="5"/>
  <c r="G114" i="5"/>
  <c r="G206" i="5"/>
  <c r="G198" i="5"/>
  <c r="G190" i="5"/>
  <c r="G182" i="5"/>
  <c r="G257" i="5"/>
  <c r="G249" i="5"/>
  <c r="G241" i="5"/>
  <c r="G294" i="5"/>
  <c r="G286" i="5"/>
  <c r="G278" i="5"/>
  <c r="G270" i="5"/>
  <c r="G21" i="5"/>
  <c r="G13" i="5"/>
  <c r="G5" i="5"/>
  <c r="G82" i="5"/>
  <c r="G74" i="5"/>
  <c r="G66" i="5"/>
  <c r="G58" i="5"/>
  <c r="G230" i="5"/>
  <c r="G97" i="5"/>
  <c r="G93" i="5"/>
  <c r="G89" i="5"/>
  <c r="G179" i="5"/>
  <c r="G175" i="5"/>
  <c r="G171" i="5"/>
  <c r="G167" i="5"/>
  <c r="G163" i="5"/>
  <c r="G159" i="5"/>
  <c r="G155" i="5"/>
  <c r="G151" i="5"/>
  <c r="G147" i="5"/>
  <c r="G143" i="5"/>
  <c r="G53" i="5"/>
  <c r="G49" i="5"/>
  <c r="G45" i="5"/>
  <c r="G41" i="5"/>
  <c r="G37" i="5"/>
  <c r="G33" i="5"/>
  <c r="G29" i="5"/>
  <c r="G25" i="5"/>
  <c r="G324" i="5"/>
  <c r="G320" i="5"/>
  <c r="G316" i="5"/>
  <c r="G312" i="5"/>
  <c r="G308" i="5"/>
  <c r="G112" i="5"/>
  <c r="G104" i="5"/>
  <c r="G96" i="5"/>
  <c r="G88" i="5"/>
  <c r="G174" i="5"/>
  <c r="G166" i="5"/>
  <c r="G158" i="5"/>
  <c r="G150" i="5"/>
  <c r="G146" i="5"/>
  <c r="G142" i="5"/>
  <c r="G52" i="5"/>
  <c r="G48" i="5"/>
  <c r="G44" i="5"/>
  <c r="G40" i="5"/>
  <c r="G36" i="5"/>
  <c r="G32" i="5"/>
  <c r="G28" i="5"/>
  <c r="G24" i="5"/>
  <c r="G323" i="5"/>
  <c r="G319" i="5"/>
  <c r="G315" i="5"/>
  <c r="G311" i="5"/>
  <c r="G307" i="5"/>
  <c r="G303" i="5"/>
  <c r="G299" i="5"/>
  <c r="G140" i="5"/>
  <c r="G108" i="5"/>
  <c r="G100" i="5"/>
  <c r="G92" i="5"/>
  <c r="G178" i="5"/>
  <c r="G170" i="5"/>
  <c r="G162" i="5"/>
  <c r="G154" i="5"/>
  <c r="G111" i="5"/>
  <c r="G107" i="5"/>
  <c r="G103" i="5"/>
  <c r="G99" i="5"/>
  <c r="G95" i="5"/>
  <c r="G91" i="5"/>
  <c r="G87" i="5"/>
  <c r="G177" i="5"/>
  <c r="G173" i="5"/>
  <c r="G169" i="5"/>
  <c r="G165" i="5"/>
  <c r="G161" i="5"/>
  <c r="G157" i="5"/>
  <c r="G153" i="5"/>
  <c r="G149" i="5"/>
  <c r="G145" i="5"/>
  <c r="G55" i="5"/>
  <c r="G51" i="5"/>
  <c r="G47" i="5"/>
  <c r="G43" i="5"/>
  <c r="G39" i="5"/>
  <c r="G35" i="5"/>
  <c r="G31" i="5"/>
  <c r="G27" i="5"/>
  <c r="G326" i="5"/>
  <c r="G322" i="5"/>
  <c r="G318" i="5"/>
  <c r="G314" i="5"/>
  <c r="G310" i="5"/>
  <c r="G306" i="5"/>
  <c r="G302" i="5"/>
  <c r="G298" i="5"/>
  <c r="G139" i="5"/>
  <c r="G135" i="5"/>
  <c r="G131" i="5"/>
  <c r="G127" i="5"/>
  <c r="G123" i="5"/>
  <c r="G119" i="5"/>
  <c r="G115" i="5"/>
  <c r="G211" i="5"/>
  <c r="G207" i="5"/>
  <c r="G203" i="5"/>
  <c r="G199" i="5"/>
  <c r="G195" i="5"/>
  <c r="G191" i="5"/>
  <c r="G187" i="5"/>
  <c r="G183" i="5"/>
  <c r="G262" i="5"/>
  <c r="G258" i="5"/>
  <c r="G254" i="5"/>
  <c r="G250" i="5"/>
  <c r="G246" i="5"/>
  <c r="G242" i="5"/>
  <c r="G238" i="5"/>
  <c r="G295" i="5"/>
  <c r="G291" i="5"/>
  <c r="G287" i="5"/>
  <c r="G283" i="5"/>
  <c r="G279" i="5"/>
  <c r="G275" i="5"/>
  <c r="G271" i="5"/>
  <c r="G267" i="5"/>
  <c r="G22" i="5"/>
  <c r="G18" i="5"/>
  <c r="G14" i="5"/>
  <c r="G10" i="5"/>
  <c r="G6" i="5"/>
  <c r="G2" i="5"/>
  <c r="G83" i="5"/>
  <c r="G79" i="5"/>
  <c r="G214" i="5"/>
  <c r="G106" i="5"/>
  <c r="G98" i="5"/>
  <c r="G90" i="5"/>
  <c r="G176" i="5"/>
  <c r="G168" i="5"/>
  <c r="G160" i="5"/>
  <c r="G152" i="5"/>
  <c r="G144" i="5"/>
  <c r="G50" i="5"/>
  <c r="G42" i="5"/>
  <c r="G34" i="5"/>
  <c r="G26" i="5"/>
  <c r="G321" i="5"/>
  <c r="G313" i="5"/>
  <c r="G305" i="5"/>
  <c r="G297" i="5"/>
  <c r="G134" i="5"/>
  <c r="G126" i="5"/>
  <c r="G118" i="5"/>
  <c r="G210" i="5"/>
  <c r="G202" i="5"/>
  <c r="G194" i="5"/>
  <c r="G186" i="5"/>
  <c r="G261" i="5"/>
  <c r="G253" i="5"/>
  <c r="G245" i="5"/>
  <c r="G237" i="5"/>
  <c r="G290" i="5"/>
  <c r="G282" i="5"/>
  <c r="G274" i="5"/>
  <c r="G266" i="5"/>
  <c r="G17" i="5"/>
  <c r="G9" i="5"/>
  <c r="G86" i="5"/>
  <c r="G78" i="5"/>
  <c r="G70" i="5"/>
  <c r="G62" i="5"/>
  <c r="G234" i="5"/>
  <c r="G226" i="5"/>
  <c r="G222" i="5"/>
  <c r="G218" i="5"/>
  <c r="G304" i="5"/>
  <c r="G300" i="5"/>
  <c r="G141" i="5"/>
  <c r="G137" i="5"/>
  <c r="G133" i="5"/>
  <c r="G129" i="5"/>
  <c r="G125" i="5"/>
  <c r="G121" i="5"/>
  <c r="G117" i="5"/>
  <c r="G213" i="5"/>
  <c r="G209" i="5"/>
  <c r="G205" i="5"/>
  <c r="G201" i="5"/>
  <c r="G197" i="5"/>
  <c r="G193" i="5"/>
  <c r="G189" i="5"/>
  <c r="G185" i="5"/>
  <c r="G264" i="5"/>
  <c r="G260" i="5"/>
  <c r="G256" i="5"/>
  <c r="G252" i="5"/>
  <c r="G248" i="5"/>
  <c r="G244" i="5"/>
  <c r="G240" i="5"/>
  <c r="G236" i="5"/>
  <c r="G293" i="5"/>
  <c r="G289" i="5"/>
  <c r="G285" i="5"/>
  <c r="G281" i="5"/>
  <c r="G277" i="5"/>
  <c r="G273" i="5"/>
  <c r="G269" i="5"/>
  <c r="G265" i="5"/>
  <c r="G20" i="5"/>
  <c r="G16" i="5"/>
  <c r="G12" i="5"/>
  <c r="G8" i="5"/>
  <c r="G4" i="5"/>
  <c r="G85" i="5"/>
  <c r="G81" i="5"/>
  <c r="G77" i="5"/>
  <c r="G73" i="5"/>
  <c r="G69" i="5"/>
  <c r="G65" i="5"/>
  <c r="G61" i="5"/>
  <c r="G57" i="5"/>
  <c r="G233" i="5"/>
  <c r="G136" i="5"/>
  <c r="G132" i="5"/>
  <c r="G128" i="5"/>
  <c r="G124" i="5"/>
  <c r="G120" i="5"/>
  <c r="G116" i="5"/>
  <c r="G212" i="5"/>
  <c r="G208" i="5"/>
  <c r="G204" i="5"/>
  <c r="G200" i="5"/>
  <c r="G196" i="5"/>
  <c r="G192" i="5"/>
  <c r="G188" i="5"/>
  <c r="G184" i="5"/>
  <c r="G263" i="5"/>
  <c r="G259" i="5"/>
  <c r="G255" i="5"/>
  <c r="G251" i="5"/>
  <c r="G247" i="5"/>
  <c r="G243" i="5"/>
  <c r="G239" i="5"/>
  <c r="G296" i="5"/>
  <c r="G292" i="5"/>
  <c r="G288" i="5"/>
  <c r="G284" i="5"/>
  <c r="G280" i="5"/>
  <c r="G276" i="5"/>
  <c r="G272" i="5"/>
  <c r="G268" i="5"/>
  <c r="G23" i="5"/>
  <c r="G19" i="5"/>
  <c r="G15" i="5"/>
  <c r="G11" i="5"/>
  <c r="G7" i="5"/>
  <c r="G3" i="5"/>
  <c r="G84" i="5"/>
  <c r="G80" i="5"/>
  <c r="G76" i="5"/>
  <c r="G72" i="5"/>
  <c r="G68" i="5"/>
  <c r="G64" i="5"/>
  <c r="G60" i="5"/>
  <c r="G56" i="5"/>
  <c r="G232" i="5"/>
  <c r="G228" i="5"/>
  <c r="G224" i="5"/>
  <c r="G220" i="5"/>
  <c r="G216" i="5"/>
  <c r="G75" i="5"/>
  <c r="G71" i="5"/>
  <c r="G67" i="5"/>
  <c r="G63" i="5"/>
  <c r="G59" i="5"/>
  <c r="G235" i="5"/>
  <c r="G231" i="5"/>
  <c r="G227" i="5"/>
  <c r="G223" i="5"/>
  <c r="G219" i="5"/>
  <c r="G215" i="5"/>
  <c r="G229" i="5"/>
  <c r="G225" i="5"/>
  <c r="G221" i="5"/>
  <c r="G217" i="5"/>
  <c r="G11" i="6" l="1"/>
  <c r="E11" i="12"/>
  <c r="D36" i="6" l="1"/>
  <c r="C10" i="12"/>
  <c r="E12" i="17"/>
  <c r="E6" i="12"/>
  <c r="E8" i="12"/>
  <c r="E7" i="12"/>
  <c r="E6" i="1"/>
  <c r="C3" i="1"/>
  <c r="E8" i="1"/>
  <c r="E7" i="1"/>
  <c r="E16" i="1"/>
  <c r="E70" i="14"/>
  <c r="J63" i="14"/>
  <c r="C62" i="14"/>
  <c r="E58" i="14"/>
  <c r="E53" i="14"/>
  <c r="E49" i="14"/>
  <c r="J44" i="14"/>
  <c r="C43" i="14"/>
  <c r="E39" i="14"/>
  <c r="E34" i="14"/>
  <c r="E29" i="14"/>
  <c r="I26" i="14"/>
  <c r="D24" i="14"/>
  <c r="E19" i="14"/>
  <c r="E14" i="14"/>
  <c r="E12" i="14"/>
  <c r="E8" i="14"/>
  <c r="C63" i="16"/>
  <c r="C48" i="16"/>
  <c r="J37" i="16"/>
  <c r="E28" i="16"/>
  <c r="E13" i="16"/>
  <c r="E70" i="20"/>
  <c r="E65" i="20"/>
  <c r="I60" i="20"/>
  <c r="D58" i="20"/>
  <c r="E53" i="20"/>
  <c r="I49" i="20"/>
  <c r="D47" i="20"/>
  <c r="E42" i="20"/>
  <c r="J37" i="20"/>
  <c r="C36" i="20"/>
  <c r="E31" i="20"/>
  <c r="C25" i="20"/>
  <c r="E21" i="20"/>
  <c r="E15" i="20"/>
  <c r="E13" i="20"/>
  <c r="E9" i="20"/>
  <c r="C5" i="20"/>
  <c r="E54" i="19"/>
  <c r="E49" i="19"/>
  <c r="I44" i="19"/>
  <c r="D42" i="19"/>
  <c r="E38" i="19"/>
  <c r="E33" i="19"/>
  <c r="E29" i="19"/>
  <c r="J24" i="19"/>
  <c r="C23" i="19"/>
  <c r="E18" i="19"/>
  <c r="E13" i="19"/>
  <c r="E11" i="19"/>
  <c r="C5" i="19"/>
  <c r="E65" i="18"/>
  <c r="E60" i="18"/>
  <c r="I55" i="18"/>
  <c r="D53" i="18"/>
  <c r="E49" i="18"/>
  <c r="E43" i="18"/>
  <c r="J39" i="18"/>
  <c r="C38" i="18"/>
  <c r="E33" i="18"/>
  <c r="E74" i="14"/>
  <c r="E68" i="14"/>
  <c r="I63" i="14"/>
  <c r="D61" i="14"/>
  <c r="E57" i="14"/>
  <c r="E52" i="14"/>
  <c r="E47" i="14"/>
  <c r="I44" i="14"/>
  <c r="D42" i="14"/>
  <c r="E38" i="14"/>
  <c r="E33" i="14"/>
  <c r="E28" i="14"/>
  <c r="E26" i="14"/>
  <c r="E23" i="14"/>
  <c r="E18" i="14"/>
  <c r="C12" i="14"/>
  <c r="E6" i="14"/>
  <c r="J63" i="16"/>
  <c r="J48" i="16"/>
  <c r="I37" i="16"/>
  <c r="C28" i="16"/>
  <c r="C13" i="16"/>
  <c r="E69" i="20"/>
  <c r="E64" i="20"/>
  <c r="E60" i="20"/>
  <c r="E57" i="20"/>
  <c r="E51" i="20"/>
  <c r="E49" i="20"/>
  <c r="E46" i="20"/>
  <c r="E40" i="20"/>
  <c r="I37" i="20"/>
  <c r="D35" i="20"/>
  <c r="E30" i="20"/>
  <c r="J25" i="20"/>
  <c r="E73" i="14"/>
  <c r="E63" i="14"/>
  <c r="E56" i="14"/>
  <c r="E46" i="14"/>
  <c r="E41" i="14"/>
  <c r="E32" i="14"/>
  <c r="C26" i="14"/>
  <c r="E17" i="14"/>
  <c r="C11" i="14"/>
  <c r="I63" i="16"/>
  <c r="I48" i="16"/>
  <c r="E56" i="20"/>
  <c r="C49" i="20"/>
  <c r="E39" i="20"/>
  <c r="E34" i="20"/>
  <c r="I25" i="20"/>
  <c r="E22" i="20"/>
  <c r="C12" i="20"/>
  <c r="E7" i="20"/>
  <c r="E50" i="19"/>
  <c r="E44" i="19"/>
  <c r="E40" i="19"/>
  <c r="E34" i="19"/>
  <c r="E27" i="19"/>
  <c r="E24" i="19"/>
  <c r="E19" i="19"/>
  <c r="C10" i="19"/>
  <c r="C3" i="19"/>
  <c r="E62" i="18"/>
  <c r="J55" i="18"/>
  <c r="E52" i="18"/>
  <c r="E46" i="18"/>
  <c r="D37" i="18"/>
  <c r="E31" i="18"/>
  <c r="E26" i="18"/>
  <c r="E24" i="18"/>
  <c r="E21" i="18"/>
  <c r="E16" i="18"/>
  <c r="I12" i="18"/>
  <c r="D10" i="18"/>
  <c r="E7" i="18"/>
  <c r="C3" i="18"/>
  <c r="E62" i="17"/>
  <c r="E57" i="17"/>
  <c r="E53" i="17"/>
  <c r="E50" i="17"/>
  <c r="E46" i="17"/>
  <c r="C38" i="17"/>
  <c r="E34" i="17"/>
  <c r="E29" i="17"/>
  <c r="E24" i="17"/>
  <c r="E22" i="17"/>
  <c r="E19" i="17"/>
  <c r="C12" i="17"/>
  <c r="E6" i="17"/>
  <c r="E59" i="21"/>
  <c r="E54" i="21"/>
  <c r="J48" i="21"/>
  <c r="C47" i="21"/>
  <c r="E43" i="21"/>
  <c r="E38" i="21"/>
  <c r="E33" i="21"/>
  <c r="J29" i="21"/>
  <c r="C28" i="21"/>
  <c r="E24" i="21"/>
  <c r="E19" i="21"/>
  <c r="E14" i="21"/>
  <c r="I11" i="21"/>
  <c r="D9" i="21"/>
  <c r="E6" i="21"/>
  <c r="E49" i="10"/>
  <c r="E44" i="10"/>
  <c r="J38" i="10"/>
  <c r="C37" i="10"/>
  <c r="E32" i="10"/>
  <c r="E27" i="10"/>
  <c r="I24" i="10"/>
  <c r="D22" i="10"/>
  <c r="E17" i="10"/>
  <c r="C11" i="10"/>
  <c r="E7" i="10"/>
  <c r="E48" i="1"/>
  <c r="E43" i="1"/>
  <c r="E39" i="1"/>
  <c r="E36" i="1"/>
  <c r="E31" i="1"/>
  <c r="E27" i="1"/>
  <c r="E24" i="1"/>
  <c r="E19" i="1"/>
  <c r="E14" i="1"/>
  <c r="I11" i="1"/>
  <c r="E68" i="8"/>
  <c r="C61" i="8"/>
  <c r="E57" i="8"/>
  <c r="E51" i="8"/>
  <c r="E49" i="8"/>
  <c r="E46" i="8"/>
  <c r="E40" i="8"/>
  <c r="I37" i="8"/>
  <c r="D35" i="8"/>
  <c r="E30" i="8"/>
  <c r="J25" i="8"/>
  <c r="C24" i="8"/>
  <c r="E20" i="8"/>
  <c r="C13" i="8"/>
  <c r="E7" i="8"/>
  <c r="C3" i="8"/>
  <c r="C16" i="13"/>
  <c r="C12" i="13"/>
  <c r="E50" i="12"/>
  <c r="E45" i="12"/>
  <c r="I42" i="12"/>
  <c r="D40" i="12"/>
  <c r="E35" i="12"/>
  <c r="E31" i="12"/>
  <c r="C25" i="12"/>
  <c r="E20" i="12"/>
  <c r="E15" i="12"/>
  <c r="J11" i="12"/>
  <c r="E72" i="14"/>
  <c r="E60" i="14"/>
  <c r="E50" i="14"/>
  <c r="E40" i="14"/>
  <c r="E20" i="14"/>
  <c r="D10" i="14"/>
  <c r="C5" i="14"/>
  <c r="C37" i="16"/>
  <c r="J13" i="16"/>
  <c r="E71" i="20"/>
  <c r="C60" i="20"/>
  <c r="J49" i="20"/>
  <c r="E28" i="20"/>
  <c r="D23" i="20"/>
  <c r="J13" i="20"/>
  <c r="E55" i="19"/>
  <c r="E41" i="19"/>
  <c r="E32" i="19"/>
  <c r="E21" i="19"/>
  <c r="J11" i="19"/>
  <c r="E6" i="19"/>
  <c r="E61" i="18"/>
  <c r="C55" i="18"/>
  <c r="E47" i="18"/>
  <c r="I39" i="18"/>
  <c r="E35" i="18"/>
  <c r="E27" i="18"/>
  <c r="C24" i="18"/>
  <c r="E19" i="18"/>
  <c r="J12" i="18"/>
  <c r="C5" i="18"/>
  <c r="E60" i="17"/>
  <c r="J53" i="17"/>
  <c r="D51" i="17"/>
  <c r="E44" i="17"/>
  <c r="I38" i="17"/>
  <c r="E35" i="17"/>
  <c r="E28" i="17"/>
  <c r="J22" i="17"/>
  <c r="D20" i="17"/>
  <c r="J12" i="17"/>
  <c r="D10" i="17"/>
  <c r="E8" i="17"/>
  <c r="C5" i="17"/>
  <c r="E57" i="21"/>
  <c r="D46" i="21"/>
  <c r="E40" i="21"/>
  <c r="E34" i="21"/>
  <c r="I29" i="21"/>
  <c r="E26" i="21"/>
  <c r="E20" i="21"/>
  <c r="E13" i="21"/>
  <c r="C11" i="21"/>
  <c r="E8" i="21"/>
  <c r="C5" i="21"/>
  <c r="E47" i="10"/>
  <c r="D36" i="10"/>
  <c r="E30" i="10"/>
  <c r="J24" i="10"/>
  <c r="E21" i="10"/>
  <c r="E14" i="10"/>
  <c r="E11" i="10"/>
  <c r="E8" i="10"/>
  <c r="E6" i="10"/>
  <c r="E49" i="1"/>
  <c r="C38" i="1"/>
  <c r="E32" i="1"/>
  <c r="C27" i="1"/>
  <c r="E22" i="1"/>
  <c r="E11" i="1"/>
  <c r="E67" i="8"/>
  <c r="I61" i="8"/>
  <c r="E58" i="8"/>
  <c r="C48" i="8"/>
  <c r="E42" i="8"/>
  <c r="E37" i="8"/>
  <c r="E33" i="8"/>
  <c r="D23" i="8"/>
  <c r="E17" i="8"/>
  <c r="E13" i="8"/>
  <c r="E10" i="8"/>
  <c r="C5" i="8"/>
  <c r="C14" i="13"/>
  <c r="E49" i="12"/>
  <c r="C41" i="12"/>
  <c r="E34" i="12"/>
  <c r="E28" i="12"/>
  <c r="E25" i="12"/>
  <c r="E19" i="12"/>
  <c r="C11" i="12"/>
  <c r="E14" i="23"/>
  <c r="H30" i="6"/>
  <c r="H28" i="6"/>
  <c r="E67" i="14"/>
  <c r="E59" i="14"/>
  <c r="E36" i="14"/>
  <c r="J26" i="14"/>
  <c r="E16" i="14"/>
  <c r="E9" i="14"/>
  <c r="E63" i="16"/>
  <c r="I13" i="16"/>
  <c r="E67" i="20"/>
  <c r="C59" i="20"/>
  <c r="C48" i="20"/>
  <c r="E37" i="20"/>
  <c r="E27" i="20"/>
  <c r="E19" i="20"/>
  <c r="I13" i="20"/>
  <c r="E10" i="20"/>
  <c r="E53" i="19"/>
  <c r="J44" i="19"/>
  <c r="E39" i="19"/>
  <c r="E31" i="19"/>
  <c r="I24" i="19"/>
  <c r="E17" i="19"/>
  <c r="I11" i="19"/>
  <c r="E8" i="19"/>
  <c r="E59" i="18"/>
  <c r="C54" i="18"/>
  <c r="E45" i="18"/>
  <c r="E39" i="18"/>
  <c r="E32" i="18"/>
  <c r="C23" i="18"/>
  <c r="E17" i="18"/>
  <c r="E12" i="18"/>
  <c r="E59" i="17"/>
  <c r="I53" i="17"/>
  <c r="E49" i="17"/>
  <c r="E43" i="17"/>
  <c r="E38" i="17"/>
  <c r="E33" i="17"/>
  <c r="E27" i="17"/>
  <c r="I22" i="17"/>
  <c r="E17" i="17"/>
  <c r="I12" i="17"/>
  <c r="C3" i="17"/>
  <c r="E55" i="21"/>
  <c r="I48" i="21"/>
  <c r="E45" i="21"/>
  <c r="E39" i="21"/>
  <c r="E32" i="21"/>
  <c r="E29" i="21"/>
  <c r="E25" i="21"/>
  <c r="E18" i="21"/>
  <c r="C10" i="21"/>
  <c r="C3" i="21"/>
  <c r="E45" i="10"/>
  <c r="I38" i="10"/>
  <c r="E35" i="10"/>
  <c r="E28" i="10"/>
  <c r="E24" i="10"/>
  <c r="E19" i="10"/>
  <c r="E13" i="10"/>
  <c r="C10" i="10"/>
  <c r="C5" i="10"/>
  <c r="E46" i="1"/>
  <c r="J39" i="1"/>
  <c r="D37" i="1"/>
  <c r="C26" i="1"/>
  <c r="E21" i="1"/>
  <c r="E13" i="1"/>
  <c r="C11" i="1"/>
  <c r="E72" i="8"/>
  <c r="E66" i="8"/>
  <c r="E61" i="8"/>
  <c r="E55" i="8"/>
  <c r="J49" i="8"/>
  <c r="D47" i="8"/>
  <c r="E39" i="8"/>
  <c r="C37" i="8"/>
  <c r="E32" i="8"/>
  <c r="I25" i="8"/>
  <c r="C12" i="8"/>
  <c r="C13" i="13"/>
  <c r="E47" i="12"/>
  <c r="E39" i="12"/>
  <c r="C24" i="12"/>
  <c r="E18" i="12"/>
  <c r="D9" i="12"/>
  <c r="D30" i="6"/>
  <c r="D28" i="6"/>
  <c r="D9" i="10"/>
  <c r="I39" i="1"/>
  <c r="J27" i="1"/>
  <c r="E22" i="8"/>
  <c r="C18" i="13"/>
  <c r="J42" i="12"/>
  <c r="E33" i="12"/>
  <c r="E27" i="12"/>
  <c r="E12" i="23"/>
  <c r="E54" i="14"/>
  <c r="E44" i="14"/>
  <c r="E35" i="14"/>
  <c r="C25" i="14"/>
  <c r="J12" i="14"/>
  <c r="J28" i="16"/>
  <c r="E66" i="20"/>
  <c r="E54" i="20"/>
  <c r="E45" i="20"/>
  <c r="C37" i="20"/>
  <c r="E25" i="20"/>
  <c r="E18" i="20"/>
  <c r="C13" i="20"/>
  <c r="E6" i="20"/>
  <c r="E51" i="19"/>
  <c r="C44" i="19"/>
  <c r="E37" i="19"/>
  <c r="E30" i="19"/>
  <c r="C24" i="19"/>
  <c r="E16" i="19"/>
  <c r="C11" i="19"/>
  <c r="E7" i="19"/>
  <c r="E66" i="18"/>
  <c r="E51" i="18"/>
  <c r="E42" i="18"/>
  <c r="C39" i="18"/>
  <c r="E30" i="18"/>
  <c r="J24" i="18"/>
  <c r="D22" i="18"/>
  <c r="E14" i="18"/>
  <c r="C12" i="18"/>
  <c r="E9" i="18"/>
  <c r="E64" i="17"/>
  <c r="E58" i="17"/>
  <c r="C53" i="17"/>
  <c r="E48" i="17"/>
  <c r="E42" i="17"/>
  <c r="C37" i="17"/>
  <c r="E32" i="17"/>
  <c r="E25" i="17"/>
  <c r="C22" i="17"/>
  <c r="E16" i="17"/>
  <c r="E9" i="17"/>
  <c r="E7" i="17"/>
  <c r="E53" i="21"/>
  <c r="E48" i="21"/>
  <c r="E44" i="21"/>
  <c r="E37" i="21"/>
  <c r="E31" i="21"/>
  <c r="C29" i="21"/>
  <c r="E23" i="21"/>
  <c r="E17" i="21"/>
  <c r="J11" i="21"/>
  <c r="E7" i="21"/>
  <c r="E43" i="10"/>
  <c r="E38" i="10"/>
  <c r="E34" i="10"/>
  <c r="E26" i="10"/>
  <c r="C24" i="10"/>
  <c r="E18" i="10"/>
  <c r="J11" i="10"/>
  <c r="E45" i="1"/>
  <c r="E35" i="1"/>
  <c r="D25" i="1"/>
  <c r="E18" i="1"/>
  <c r="C10" i="1"/>
  <c r="E71" i="8"/>
  <c r="C63" i="14"/>
  <c r="E21" i="14"/>
  <c r="E16" i="20"/>
  <c r="E48" i="19"/>
  <c r="D22" i="19"/>
  <c r="E64" i="18"/>
  <c r="E36" i="18"/>
  <c r="E63" i="17"/>
  <c r="J38" i="17"/>
  <c r="C21" i="17"/>
  <c r="E42" i="21"/>
  <c r="E22" i="21"/>
  <c r="E31" i="10"/>
  <c r="I11" i="10"/>
  <c r="E44" i="1"/>
  <c r="E23" i="1"/>
  <c r="C5" i="1"/>
  <c r="C60" i="8"/>
  <c r="I49" i="8"/>
  <c r="E29" i="8"/>
  <c r="E21" i="8"/>
  <c r="D11" i="8"/>
  <c r="C17" i="13"/>
  <c r="E53" i="12"/>
  <c r="E42" i="12"/>
  <c r="E32" i="12"/>
  <c r="D23" i="12"/>
  <c r="E51" i="14"/>
  <c r="E48" i="16"/>
  <c r="E43" i="20"/>
  <c r="D11" i="20"/>
  <c r="C43" i="19"/>
  <c r="E14" i="19"/>
  <c r="E55" i="18"/>
  <c r="E29" i="18"/>
  <c r="C11" i="18"/>
  <c r="D36" i="17"/>
  <c r="E14" i="17"/>
  <c r="E58" i="21"/>
  <c r="E36" i="21"/>
  <c r="E15" i="21"/>
  <c r="E48" i="10"/>
  <c r="C39" i="1"/>
  <c r="E17" i="1"/>
  <c r="E70" i="8"/>
  <c r="D59" i="8"/>
  <c r="C49" i="8"/>
  <c r="J37" i="8"/>
  <c r="E27" i="8"/>
  <c r="E18" i="8"/>
  <c r="E6" i="8"/>
  <c r="C15" i="13"/>
  <c r="E52" i="12"/>
  <c r="C42" i="12"/>
  <c r="E30" i="12"/>
  <c r="E22" i="12"/>
  <c r="E16" i="23"/>
  <c r="D29" i="6"/>
  <c r="E41" i="18"/>
  <c r="E47" i="17"/>
  <c r="D27" i="21"/>
  <c r="C38" i="10"/>
  <c r="E50" i="1"/>
  <c r="E52" i="8"/>
  <c r="E34" i="8"/>
  <c r="I13" i="8"/>
  <c r="E8" i="8"/>
  <c r="C10" i="13"/>
  <c r="E44" i="12"/>
  <c r="I25" i="12"/>
  <c r="C5" i="12"/>
  <c r="D31" i="6"/>
  <c r="E18" i="23"/>
  <c r="H29" i="6"/>
  <c r="C44" i="14"/>
  <c r="E7" i="14"/>
  <c r="E37" i="16"/>
  <c r="E33" i="20"/>
  <c r="E8" i="20"/>
  <c r="E35" i="19"/>
  <c r="D9" i="19"/>
  <c r="E50" i="18"/>
  <c r="I24" i="18"/>
  <c r="E8" i="18"/>
  <c r="C52" i="17"/>
  <c r="E30" i="17"/>
  <c r="C11" i="17"/>
  <c r="E52" i="21"/>
  <c r="E11" i="21"/>
  <c r="E42" i="10"/>
  <c r="C23" i="10"/>
  <c r="E34" i="1"/>
  <c r="J11" i="1"/>
  <c r="E65" i="8"/>
  <c r="E54" i="8"/>
  <c r="E45" i="8"/>
  <c r="C36" i="8"/>
  <c r="E25" i="8"/>
  <c r="J13" i="8"/>
  <c r="E9" i="8"/>
  <c r="C11" i="13"/>
  <c r="E46" i="12"/>
  <c r="E38" i="12"/>
  <c r="J25" i="12"/>
  <c r="E16" i="12"/>
  <c r="H31" i="6"/>
  <c r="H27" i="6"/>
  <c r="E31" i="14"/>
  <c r="I28" i="16"/>
  <c r="J60" i="20"/>
  <c r="C24" i="20"/>
  <c r="C3" i="20"/>
  <c r="E26" i="19"/>
  <c r="E20" i="18"/>
  <c r="E6" i="18"/>
  <c r="C48" i="21"/>
  <c r="E15" i="10"/>
  <c r="I27" i="1"/>
  <c r="J61" i="8"/>
  <c r="E44" i="8"/>
  <c r="C25" i="8"/>
  <c r="E36" i="12"/>
  <c r="E14" i="12"/>
  <c r="D27" i="6"/>
  <c r="I11" i="12"/>
  <c r="H86" i="5"/>
  <c r="H85" i="5"/>
  <c r="H4" i="5"/>
  <c r="H181" i="5"/>
  <c r="O364" i="32" l="1"/>
  <c r="I181" i="5"/>
  <c r="AA181" i="5" s="1"/>
  <c r="AB181" i="5" s="1"/>
  <c r="G5" i="29"/>
  <c r="X2" i="29" l="1"/>
  <c r="Q9" i="24" s="1"/>
  <c r="R65" i="29"/>
  <c r="M72" i="24" s="1"/>
  <c r="X29" i="29"/>
  <c r="Q36" i="24" s="1"/>
  <c r="X28" i="29"/>
  <c r="U27" i="29"/>
  <c r="O34" i="24" s="1"/>
  <c r="R26" i="29"/>
  <c r="X24" i="29"/>
  <c r="Q31" i="24" s="1"/>
  <c r="U23" i="29"/>
  <c r="O30" i="24" s="1"/>
  <c r="R22" i="29"/>
  <c r="X20" i="29"/>
  <c r="Q27" i="24" s="1"/>
  <c r="U19" i="29"/>
  <c r="O26" i="24" s="1"/>
  <c r="R18" i="29"/>
  <c r="X16" i="29"/>
  <c r="Q23" i="24" s="1"/>
  <c r="U15" i="29"/>
  <c r="R14" i="29"/>
  <c r="X12" i="29"/>
  <c r="U11" i="29"/>
  <c r="O18" i="24" s="1"/>
  <c r="R10" i="29"/>
  <c r="X8" i="29"/>
  <c r="Q15" i="24" s="1"/>
  <c r="U7" i="29"/>
  <c r="O14" i="24" s="1"/>
  <c r="R6" i="29"/>
  <c r="X4" i="29"/>
  <c r="Q11" i="24" s="1"/>
  <c r="U3" i="29"/>
  <c r="O10" i="24" s="1"/>
  <c r="R2" i="29"/>
  <c r="R3" i="29"/>
  <c r="U9" i="29"/>
  <c r="O16" i="24" s="1"/>
  <c r="U5" i="29"/>
  <c r="O12" i="24" s="1"/>
  <c r="U26" i="29"/>
  <c r="O33" i="24" s="1"/>
  <c r="U22" i="29"/>
  <c r="O29" i="24" s="1"/>
  <c r="U18" i="29"/>
  <c r="O25" i="24" s="1"/>
  <c r="U14" i="29"/>
  <c r="O21" i="24" s="1"/>
  <c r="X11" i="29"/>
  <c r="Q18" i="24" s="1"/>
  <c r="X7" i="29"/>
  <c r="X3" i="29"/>
  <c r="Q10" i="24" s="1"/>
  <c r="U29" i="29"/>
  <c r="O36" i="24" s="1"/>
  <c r="U28" i="29"/>
  <c r="O35" i="24" s="1"/>
  <c r="R27" i="29"/>
  <c r="X25" i="29"/>
  <c r="Q32" i="24" s="1"/>
  <c r="U24" i="29"/>
  <c r="R23" i="29"/>
  <c r="X21" i="29"/>
  <c r="Q28" i="24" s="1"/>
  <c r="U20" i="29"/>
  <c r="O27" i="24" s="1"/>
  <c r="R19" i="29"/>
  <c r="X17" i="29"/>
  <c r="Q24" i="24" s="1"/>
  <c r="U16" i="29"/>
  <c r="R15" i="29"/>
  <c r="X13" i="29"/>
  <c r="Q20" i="24" s="1"/>
  <c r="U12" i="29"/>
  <c r="O19" i="24" s="1"/>
  <c r="R11" i="29"/>
  <c r="X9" i="29"/>
  <c r="Q16" i="24" s="1"/>
  <c r="U8" i="29"/>
  <c r="O15" i="24" s="1"/>
  <c r="R7" i="29"/>
  <c r="X5" i="29"/>
  <c r="Q12" i="24" s="1"/>
  <c r="U4" i="29"/>
  <c r="O11" i="24" s="1"/>
  <c r="X10" i="29"/>
  <c r="Q17" i="24" s="1"/>
  <c r="X6" i="29"/>
  <c r="X27" i="29"/>
  <c r="Q34" i="24" s="1"/>
  <c r="X23" i="29"/>
  <c r="Q30" i="24" s="1"/>
  <c r="R21" i="29"/>
  <c r="R17" i="29"/>
  <c r="R13" i="29"/>
  <c r="R9" i="29"/>
  <c r="R5" i="29"/>
  <c r="U2" i="29"/>
  <c r="O9" i="24" s="1"/>
  <c r="R29" i="29"/>
  <c r="R28" i="29"/>
  <c r="X26" i="29"/>
  <c r="Q33" i="24" s="1"/>
  <c r="U25" i="29"/>
  <c r="O32" i="24" s="1"/>
  <c r="R24" i="29"/>
  <c r="X22" i="29"/>
  <c r="Q29" i="24" s="1"/>
  <c r="U21" i="29"/>
  <c r="R20" i="29"/>
  <c r="X18" i="29"/>
  <c r="U17" i="29"/>
  <c r="O24" i="24" s="1"/>
  <c r="R16" i="29"/>
  <c r="X14" i="29"/>
  <c r="Q21" i="24" s="1"/>
  <c r="U13" i="29"/>
  <c r="O20" i="24" s="1"/>
  <c r="R12" i="29"/>
  <c r="R8" i="29"/>
  <c r="R4" i="29"/>
  <c r="R25" i="29"/>
  <c r="X19" i="29"/>
  <c r="Q26" i="24" s="1"/>
  <c r="X15" i="29"/>
  <c r="Q22" i="24" s="1"/>
  <c r="U10" i="29"/>
  <c r="O17" i="24" s="1"/>
  <c r="U6" i="29"/>
  <c r="O13" i="24" s="1"/>
  <c r="X44" i="29"/>
  <c r="Q51" i="24" s="1"/>
  <c r="X95" i="29"/>
  <c r="Q102" i="24" s="1"/>
  <c r="U78" i="29"/>
  <c r="O85" i="24" s="1"/>
  <c r="X52" i="29"/>
  <c r="Q59" i="24" s="1"/>
  <c r="U31" i="29"/>
  <c r="O38" i="24" s="1"/>
  <c r="U94" i="29"/>
  <c r="O101" i="24" s="1"/>
  <c r="X63" i="29"/>
  <c r="Q70" i="24" s="1"/>
  <c r="U47" i="29"/>
  <c r="O54" i="24" s="1"/>
  <c r="R30" i="29"/>
  <c r="M37" i="24" s="1"/>
  <c r="R61" i="29"/>
  <c r="M68" i="24" s="1"/>
  <c r="X36" i="29"/>
  <c r="Q43" i="24" s="1"/>
  <c r="X79" i="29"/>
  <c r="Q86" i="24" s="1"/>
  <c r="U63" i="29"/>
  <c r="O70" i="24" s="1"/>
  <c r="R45" i="29"/>
  <c r="M52" i="24" s="1"/>
  <c r="X31" i="29"/>
  <c r="Q38" i="24" s="1"/>
  <c r="X39" i="29"/>
  <c r="Q46" i="24" s="1"/>
  <c r="X47" i="29"/>
  <c r="Q54" i="24" s="1"/>
  <c r="X55" i="29"/>
  <c r="Q62" i="24" s="1"/>
  <c r="X67" i="29"/>
  <c r="Q74" i="24" s="1"/>
  <c r="X83" i="29"/>
  <c r="Q90" i="24" s="1"/>
  <c r="X99" i="29"/>
  <c r="Q106" i="24" s="1"/>
  <c r="U35" i="29"/>
  <c r="O42" i="24" s="1"/>
  <c r="U51" i="29"/>
  <c r="O58" i="24" s="1"/>
  <c r="U67" i="29"/>
  <c r="O74" i="24" s="1"/>
  <c r="U82" i="29"/>
  <c r="O89" i="24" s="1"/>
  <c r="U98" i="29"/>
  <c r="O105" i="24" s="1"/>
  <c r="R49" i="29"/>
  <c r="M56" i="24" s="1"/>
  <c r="R109" i="29"/>
  <c r="M116" i="24" s="1"/>
  <c r="R105" i="29"/>
  <c r="M112" i="24" s="1"/>
  <c r="R101" i="29"/>
  <c r="M108" i="24" s="1"/>
  <c r="R97" i="29"/>
  <c r="M104" i="24" s="1"/>
  <c r="R93" i="29"/>
  <c r="M100" i="24" s="1"/>
  <c r="R89" i="29"/>
  <c r="M96" i="24" s="1"/>
  <c r="R85" i="29"/>
  <c r="M92" i="24" s="1"/>
  <c r="R81" i="29"/>
  <c r="M88" i="24" s="1"/>
  <c r="R77" i="29"/>
  <c r="M84" i="24" s="1"/>
  <c r="R108" i="29"/>
  <c r="M115" i="24" s="1"/>
  <c r="R104" i="29"/>
  <c r="M111" i="24" s="1"/>
  <c r="R100" i="29"/>
  <c r="M107" i="24" s="1"/>
  <c r="R96" i="29"/>
  <c r="M103" i="24" s="1"/>
  <c r="R92" i="29"/>
  <c r="M99" i="24" s="1"/>
  <c r="R88" i="29"/>
  <c r="M95" i="24" s="1"/>
  <c r="R84" i="29"/>
  <c r="M91" i="24" s="1"/>
  <c r="R80" i="29"/>
  <c r="M87" i="24" s="1"/>
  <c r="R76" i="29"/>
  <c r="M83" i="24" s="1"/>
  <c r="R72" i="29"/>
  <c r="M79" i="24" s="1"/>
  <c r="R68" i="29"/>
  <c r="M75" i="24" s="1"/>
  <c r="R64" i="29"/>
  <c r="M71" i="24" s="1"/>
  <c r="R60" i="29"/>
  <c r="M67" i="24" s="1"/>
  <c r="R56" i="29"/>
  <c r="M63" i="24" s="1"/>
  <c r="R52" i="29"/>
  <c r="M59" i="24" s="1"/>
  <c r="R48" i="29"/>
  <c r="M55" i="24" s="1"/>
  <c r="R44" i="29"/>
  <c r="M51" i="24" s="1"/>
  <c r="R40" i="29"/>
  <c r="M47" i="24" s="1"/>
  <c r="R36" i="29"/>
  <c r="M43" i="24" s="1"/>
  <c r="R33" i="29"/>
  <c r="M40" i="24" s="1"/>
  <c r="U109" i="29"/>
  <c r="O116" i="24" s="1"/>
  <c r="U105" i="29"/>
  <c r="O112" i="24" s="1"/>
  <c r="U101" i="29"/>
  <c r="O108" i="24" s="1"/>
  <c r="U97" i="29"/>
  <c r="O104" i="24" s="1"/>
  <c r="U93" i="29"/>
  <c r="O100" i="24" s="1"/>
  <c r="U89" i="29"/>
  <c r="O96" i="24" s="1"/>
  <c r="U85" i="29"/>
  <c r="O92" i="24" s="1"/>
  <c r="U81" i="29"/>
  <c r="O88" i="24" s="1"/>
  <c r="U77" i="29"/>
  <c r="O84" i="24" s="1"/>
  <c r="U73" i="29"/>
  <c r="O80" i="24" s="1"/>
  <c r="U70" i="29"/>
  <c r="O77" i="24" s="1"/>
  <c r="U66" i="29"/>
  <c r="O73" i="24" s="1"/>
  <c r="U62" i="29"/>
  <c r="O69" i="24" s="1"/>
  <c r="U58" i="29"/>
  <c r="O65" i="24" s="1"/>
  <c r="U54" i="29"/>
  <c r="O61" i="24" s="1"/>
  <c r="U50" i="29"/>
  <c r="O57" i="24" s="1"/>
  <c r="U46" i="29"/>
  <c r="O53" i="24" s="1"/>
  <c r="U42" i="29"/>
  <c r="O49" i="24" s="1"/>
  <c r="U38" i="29"/>
  <c r="O45" i="24" s="1"/>
  <c r="U34" i="29"/>
  <c r="O41" i="24" s="1"/>
  <c r="U30" i="29"/>
  <c r="O37" i="24" s="1"/>
  <c r="X106" i="29"/>
  <c r="Q113" i="24" s="1"/>
  <c r="X102" i="29"/>
  <c r="Q109" i="24" s="1"/>
  <c r="X98" i="29"/>
  <c r="Q105" i="24" s="1"/>
  <c r="X94" i="29"/>
  <c r="Q101" i="24" s="1"/>
  <c r="X90" i="29"/>
  <c r="Q97" i="24" s="1"/>
  <c r="X86" i="29"/>
  <c r="Q93" i="24" s="1"/>
  <c r="X82" i="29"/>
  <c r="Q89" i="24" s="1"/>
  <c r="X78" i="29"/>
  <c r="Q85" i="24" s="1"/>
  <c r="X74" i="29"/>
  <c r="Q81" i="24" s="1"/>
  <c r="X70" i="29"/>
  <c r="Q77" i="24" s="1"/>
  <c r="X66" i="29"/>
  <c r="Q73" i="24" s="1"/>
  <c r="X62" i="29"/>
  <c r="Q69" i="24" s="1"/>
  <c r="X58" i="29"/>
  <c r="Q65" i="24" s="1"/>
  <c r="X54" i="29"/>
  <c r="Q61" i="24" s="1"/>
  <c r="X50" i="29"/>
  <c r="Q57" i="24" s="1"/>
  <c r="X46" i="29"/>
  <c r="Q53" i="24" s="1"/>
  <c r="X42" i="29"/>
  <c r="Q49" i="24" s="1"/>
  <c r="X38" i="29"/>
  <c r="Q45" i="24" s="1"/>
  <c r="X34" i="29"/>
  <c r="Q41" i="24" s="1"/>
  <c r="X30" i="29"/>
  <c r="Q37" i="24" s="1"/>
  <c r="X85" i="29"/>
  <c r="Q92" i="24" s="1"/>
  <c r="X49" i="29"/>
  <c r="Q56" i="24" s="1"/>
  <c r="X41" i="29"/>
  <c r="Q48" i="24" s="1"/>
  <c r="X37" i="29"/>
  <c r="Q44" i="24" s="1"/>
  <c r="R106" i="29"/>
  <c r="M113" i="24" s="1"/>
  <c r="R94" i="29"/>
  <c r="M101" i="24" s="1"/>
  <c r="R86" i="29"/>
  <c r="M93" i="24" s="1"/>
  <c r="R78" i="29"/>
  <c r="M85" i="24" s="1"/>
  <c r="R70" i="29"/>
  <c r="M77" i="24" s="1"/>
  <c r="R66" i="29"/>
  <c r="M73" i="24" s="1"/>
  <c r="R54" i="29"/>
  <c r="M61" i="24" s="1"/>
  <c r="R46" i="29"/>
  <c r="M53" i="24" s="1"/>
  <c r="R42" i="29"/>
  <c r="M49" i="24" s="1"/>
  <c r="R31" i="29"/>
  <c r="M38" i="24" s="1"/>
  <c r="U103" i="29"/>
  <c r="O110" i="24" s="1"/>
  <c r="U95" i="29"/>
  <c r="O102" i="24" s="1"/>
  <c r="U87" i="29"/>
  <c r="O94" i="24" s="1"/>
  <c r="U79" i="29"/>
  <c r="O86" i="24" s="1"/>
  <c r="U71" i="29"/>
  <c r="O78" i="24" s="1"/>
  <c r="U64" i="29"/>
  <c r="O71" i="24" s="1"/>
  <c r="U56" i="29"/>
  <c r="O63" i="24" s="1"/>
  <c r="U48" i="29"/>
  <c r="O55" i="24" s="1"/>
  <c r="U40" i="29"/>
  <c r="O47" i="24" s="1"/>
  <c r="U36" i="29"/>
  <c r="O43" i="24" s="1"/>
  <c r="X108" i="29"/>
  <c r="Q115" i="24" s="1"/>
  <c r="X96" i="29"/>
  <c r="Q103" i="24" s="1"/>
  <c r="X88" i="29"/>
  <c r="Q95" i="24" s="1"/>
  <c r="X84" i="29"/>
  <c r="Q91" i="24" s="1"/>
  <c r="X76" i="29"/>
  <c r="Q83" i="24" s="1"/>
  <c r="X64" i="29"/>
  <c r="Q71" i="24" s="1"/>
  <c r="X60" i="29"/>
  <c r="Q67" i="24" s="1"/>
  <c r="R107" i="29"/>
  <c r="M114" i="24" s="1"/>
  <c r="R103" i="29"/>
  <c r="M110" i="24" s="1"/>
  <c r="R99" i="29"/>
  <c r="M106" i="24" s="1"/>
  <c r="R95" i="29"/>
  <c r="M102" i="24" s="1"/>
  <c r="R91" i="29"/>
  <c r="M98" i="24" s="1"/>
  <c r="R87" i="29"/>
  <c r="M94" i="24" s="1"/>
  <c r="R83" i="29"/>
  <c r="M90" i="24" s="1"/>
  <c r="R79" i="29"/>
  <c r="M86" i="24" s="1"/>
  <c r="R75" i="29"/>
  <c r="M82" i="24" s="1"/>
  <c r="R71" i="29"/>
  <c r="M78" i="24" s="1"/>
  <c r="R67" i="29"/>
  <c r="M74" i="24" s="1"/>
  <c r="R63" i="29"/>
  <c r="M70" i="24" s="1"/>
  <c r="R59" i="29"/>
  <c r="M66" i="24" s="1"/>
  <c r="R55" i="29"/>
  <c r="M62" i="24" s="1"/>
  <c r="R51" i="29"/>
  <c r="M58" i="24" s="1"/>
  <c r="R47" i="29"/>
  <c r="M54" i="24" s="1"/>
  <c r="R43" i="29"/>
  <c r="M50" i="24" s="1"/>
  <c r="R39" i="29"/>
  <c r="M46" i="24" s="1"/>
  <c r="R35" i="29"/>
  <c r="M42" i="24" s="1"/>
  <c r="R32" i="29"/>
  <c r="M39" i="24" s="1"/>
  <c r="U108" i="29"/>
  <c r="O115" i="24" s="1"/>
  <c r="U104" i="29"/>
  <c r="O111" i="24" s="1"/>
  <c r="U100" i="29"/>
  <c r="O107" i="24" s="1"/>
  <c r="U96" i="29"/>
  <c r="O103" i="24" s="1"/>
  <c r="U92" i="29"/>
  <c r="O99" i="24" s="1"/>
  <c r="U88" i="29"/>
  <c r="O95" i="24" s="1"/>
  <c r="U84" i="29"/>
  <c r="O91" i="24" s="1"/>
  <c r="U80" i="29"/>
  <c r="O87" i="24" s="1"/>
  <c r="U76" i="29"/>
  <c r="O83" i="24" s="1"/>
  <c r="U72" i="29"/>
  <c r="O79" i="24" s="1"/>
  <c r="U69" i="29"/>
  <c r="O76" i="24" s="1"/>
  <c r="U65" i="29"/>
  <c r="O72" i="24" s="1"/>
  <c r="U61" i="29"/>
  <c r="O68" i="24" s="1"/>
  <c r="U57" i="29"/>
  <c r="O64" i="24" s="1"/>
  <c r="U53" i="29"/>
  <c r="O60" i="24" s="1"/>
  <c r="U49" i="29"/>
  <c r="O56" i="24" s="1"/>
  <c r="U45" i="29"/>
  <c r="O52" i="24" s="1"/>
  <c r="U41" i="29"/>
  <c r="O48" i="24" s="1"/>
  <c r="U37" i="29"/>
  <c r="O44" i="24" s="1"/>
  <c r="U33" i="29"/>
  <c r="O40" i="24" s="1"/>
  <c r="X109" i="29"/>
  <c r="Q116" i="24" s="1"/>
  <c r="X105" i="29"/>
  <c r="Q112" i="24" s="1"/>
  <c r="X101" i="29"/>
  <c r="Q108" i="24" s="1"/>
  <c r="X97" i="29"/>
  <c r="Q104" i="24" s="1"/>
  <c r="X93" i="29"/>
  <c r="Q100" i="24" s="1"/>
  <c r="X89" i="29"/>
  <c r="Q96" i="24" s="1"/>
  <c r="X81" i="29"/>
  <c r="Q88" i="24" s="1"/>
  <c r="X77" i="29"/>
  <c r="Q84" i="24" s="1"/>
  <c r="X73" i="29"/>
  <c r="Q80" i="24" s="1"/>
  <c r="X69" i="29"/>
  <c r="Q76" i="24" s="1"/>
  <c r="X65" i="29"/>
  <c r="Q72" i="24" s="1"/>
  <c r="X61" i="29"/>
  <c r="Q68" i="24" s="1"/>
  <c r="X57" i="29"/>
  <c r="Q64" i="24" s="1"/>
  <c r="X53" i="29"/>
  <c r="Q60" i="24" s="1"/>
  <c r="X45" i="29"/>
  <c r="Q52" i="24" s="1"/>
  <c r="X33" i="29"/>
  <c r="Q40" i="24" s="1"/>
  <c r="R102" i="29"/>
  <c r="R98" i="29"/>
  <c r="M105" i="24" s="1"/>
  <c r="R90" i="29"/>
  <c r="M97" i="24" s="1"/>
  <c r="R82" i="29"/>
  <c r="R74" i="29"/>
  <c r="M81" i="24" s="1"/>
  <c r="R62" i="29"/>
  <c r="M69" i="24" s="1"/>
  <c r="R58" i="29"/>
  <c r="M65" i="24" s="1"/>
  <c r="R50" i="29"/>
  <c r="R38" i="29"/>
  <c r="M45" i="24" s="1"/>
  <c r="R34" i="29"/>
  <c r="M41" i="24" s="1"/>
  <c r="U107" i="29"/>
  <c r="O114" i="24" s="1"/>
  <c r="U99" i="29"/>
  <c r="O106" i="24" s="1"/>
  <c r="U91" i="29"/>
  <c r="O98" i="24" s="1"/>
  <c r="U83" i="29"/>
  <c r="O90" i="24" s="1"/>
  <c r="U75" i="29"/>
  <c r="O82" i="24" s="1"/>
  <c r="U68" i="29"/>
  <c r="O75" i="24" s="1"/>
  <c r="U60" i="29"/>
  <c r="O67" i="24" s="1"/>
  <c r="U52" i="29"/>
  <c r="O59" i="24" s="1"/>
  <c r="U44" i="29"/>
  <c r="O51" i="24" s="1"/>
  <c r="U32" i="29"/>
  <c r="O39" i="24" s="1"/>
  <c r="X104" i="29"/>
  <c r="Q111" i="24" s="1"/>
  <c r="X100" i="29"/>
  <c r="Q107" i="24" s="1"/>
  <c r="X92" i="29"/>
  <c r="Q99" i="24" s="1"/>
  <c r="X80" i="29"/>
  <c r="Q87" i="24" s="1"/>
  <c r="X72" i="29"/>
  <c r="Q79" i="24" s="1"/>
  <c r="X68" i="29"/>
  <c r="Q75" i="24" s="1"/>
  <c r="X32" i="29"/>
  <c r="Q39" i="24" s="1"/>
  <c r="X40" i="29"/>
  <c r="Q47" i="24" s="1"/>
  <c r="X48" i="29"/>
  <c r="Q55" i="24" s="1"/>
  <c r="X56" i="29"/>
  <c r="Q63" i="24" s="1"/>
  <c r="X71" i="29"/>
  <c r="Q78" i="24" s="1"/>
  <c r="X87" i="29"/>
  <c r="Q94" i="24" s="1"/>
  <c r="X103" i="29"/>
  <c r="Q110" i="24" s="1"/>
  <c r="U39" i="29"/>
  <c r="O46" i="24" s="1"/>
  <c r="U55" i="29"/>
  <c r="U86" i="29"/>
  <c r="O93" i="24" s="1"/>
  <c r="U102" i="29"/>
  <c r="O109" i="24" s="1"/>
  <c r="R37" i="29"/>
  <c r="M44" i="24" s="1"/>
  <c r="R53" i="29"/>
  <c r="M60" i="24" s="1"/>
  <c r="R69" i="29"/>
  <c r="M76" i="24" s="1"/>
  <c r="X35" i="29"/>
  <c r="Q42" i="24" s="1"/>
  <c r="X43" i="29"/>
  <c r="Q50" i="24" s="1"/>
  <c r="X51" i="29"/>
  <c r="Q58" i="24" s="1"/>
  <c r="X59" i="29"/>
  <c r="Q66" i="24" s="1"/>
  <c r="X75" i="29"/>
  <c r="Q82" i="24" s="1"/>
  <c r="X91" i="29"/>
  <c r="Q98" i="24" s="1"/>
  <c r="X107" i="29"/>
  <c r="Q114" i="24" s="1"/>
  <c r="U43" i="29"/>
  <c r="O50" i="24" s="1"/>
  <c r="U59" i="29"/>
  <c r="O66" i="24" s="1"/>
  <c r="U74" i="29"/>
  <c r="O81" i="24" s="1"/>
  <c r="U90" i="29"/>
  <c r="O97" i="24" s="1"/>
  <c r="U106" i="29"/>
  <c r="O113" i="24" s="1"/>
  <c r="R41" i="29"/>
  <c r="M48" i="24" s="1"/>
  <c r="R57" i="29"/>
  <c r="M64" i="24" s="1"/>
  <c r="R73" i="29"/>
  <c r="M80" i="24" s="1"/>
  <c r="O109" i="29" l="1"/>
  <c r="K116" i="24"/>
  <c r="P88" i="29"/>
  <c r="L95" i="24" s="1"/>
  <c r="P106" i="29"/>
  <c r="L113" i="24" s="1"/>
  <c r="O96" i="29"/>
  <c r="P94" i="29"/>
  <c r="L101" i="24" s="1"/>
  <c r="O49" i="29"/>
  <c r="O108" i="29"/>
  <c r="O105" i="29"/>
  <c r="V36" i="29"/>
  <c r="P43" i="24" s="1"/>
  <c r="O85" i="29"/>
  <c r="O52" i="29"/>
  <c r="O4" i="29"/>
  <c r="M11" i="24"/>
  <c r="P4" i="29"/>
  <c r="L11" i="24" s="1"/>
  <c r="M27" i="24"/>
  <c r="O20" i="29"/>
  <c r="M24" i="24"/>
  <c r="O17" i="29"/>
  <c r="Q13" i="24"/>
  <c r="M14" i="24"/>
  <c r="O7" i="29"/>
  <c r="O23" i="29"/>
  <c r="M30" i="24"/>
  <c r="O3" i="29"/>
  <c r="M10" i="24"/>
  <c r="M13" i="24"/>
  <c r="O6" i="29"/>
  <c r="M29" i="24"/>
  <c r="P22" i="29"/>
  <c r="L29" i="24" s="1"/>
  <c r="O22" i="29"/>
  <c r="O56" i="29"/>
  <c r="P62" i="29"/>
  <c r="L69" i="24" s="1"/>
  <c r="P102" i="29"/>
  <c r="L109" i="24" s="1"/>
  <c r="M109" i="24"/>
  <c r="M15" i="24"/>
  <c r="O8" i="29"/>
  <c r="M23" i="24"/>
  <c r="O16" i="29"/>
  <c r="O28" i="24"/>
  <c r="M12" i="24"/>
  <c r="O5" i="29"/>
  <c r="M28" i="24"/>
  <c r="P21" i="29"/>
  <c r="L28" i="24" s="1"/>
  <c r="O21" i="29"/>
  <c r="M26" i="24"/>
  <c r="O19" i="29"/>
  <c r="O31" i="24"/>
  <c r="M9" i="24"/>
  <c r="O2" i="29"/>
  <c r="Q19" i="24"/>
  <c r="M25" i="24"/>
  <c r="O18" i="29"/>
  <c r="Q35" i="24"/>
  <c r="P50" i="29"/>
  <c r="L57" i="24" s="1"/>
  <c r="M57" i="24"/>
  <c r="M89" i="24"/>
  <c r="M19" i="24"/>
  <c r="O12" i="29"/>
  <c r="O28" i="29"/>
  <c r="M35" i="24"/>
  <c r="O9" i="29"/>
  <c r="M16" i="24"/>
  <c r="M22" i="24"/>
  <c r="O15" i="29"/>
  <c r="M21" i="24"/>
  <c r="O14" i="29"/>
  <c r="O55" i="29"/>
  <c r="O62" i="24"/>
  <c r="P25" i="29"/>
  <c r="L32" i="24" s="1"/>
  <c r="M32" i="24"/>
  <c r="O25" i="29"/>
  <c r="Q25" i="24"/>
  <c r="O24" i="29"/>
  <c r="M31" i="24"/>
  <c r="O29" i="29"/>
  <c r="M36" i="24"/>
  <c r="M20" i="24"/>
  <c r="O13" i="29"/>
  <c r="M18" i="24"/>
  <c r="O11" i="29"/>
  <c r="O23" i="24"/>
  <c r="M34" i="24"/>
  <c r="O27" i="29"/>
  <c r="V7" i="29"/>
  <c r="P14" i="24" s="1"/>
  <c r="Q14" i="24"/>
  <c r="M17" i="24"/>
  <c r="O10" i="29"/>
  <c r="O22" i="24"/>
  <c r="M33" i="24"/>
  <c r="O26" i="29"/>
  <c r="O71" i="29"/>
  <c r="O84" i="29"/>
  <c r="O95" i="29"/>
  <c r="O92" i="29"/>
  <c r="O57" i="29"/>
  <c r="O36" i="29"/>
  <c r="O103" i="29"/>
  <c r="P57" i="29"/>
  <c r="L64" i="24" s="1"/>
  <c r="O41" i="29"/>
  <c r="O59" i="29"/>
  <c r="O53" i="29"/>
  <c r="S55" i="29"/>
  <c r="N62" i="24" s="1"/>
  <c r="V92" i="29"/>
  <c r="P99" i="24" s="1"/>
  <c r="O58" i="29"/>
  <c r="O90" i="29"/>
  <c r="S100" i="29"/>
  <c r="N107" i="24" s="1"/>
  <c r="O35" i="29"/>
  <c r="O99" i="29"/>
  <c r="O66" i="29"/>
  <c r="O94" i="29"/>
  <c r="V70" i="29"/>
  <c r="P77" i="24" s="1"/>
  <c r="S70" i="29"/>
  <c r="N77" i="24" s="1"/>
  <c r="P52" i="29"/>
  <c r="L59" i="24" s="1"/>
  <c r="O68" i="29"/>
  <c r="P84" i="29"/>
  <c r="L91" i="24" s="1"/>
  <c r="O100" i="29"/>
  <c r="O81" i="29"/>
  <c r="O97" i="29"/>
  <c r="O51" i="29"/>
  <c r="O38" i="29"/>
  <c r="O72" i="29"/>
  <c r="O48" i="29"/>
  <c r="O69" i="29"/>
  <c r="O60" i="29"/>
  <c r="S106" i="29"/>
  <c r="N113" i="24" s="1"/>
  <c r="O37" i="29"/>
  <c r="V100" i="29"/>
  <c r="P107" i="24" s="1"/>
  <c r="O34" i="29"/>
  <c r="P34" i="29"/>
  <c r="L41" i="24" s="1"/>
  <c r="O62" i="29"/>
  <c r="O98" i="29"/>
  <c r="V89" i="29"/>
  <c r="P96" i="24" s="1"/>
  <c r="S57" i="29"/>
  <c r="N64" i="24" s="1"/>
  <c r="O39" i="29"/>
  <c r="P55" i="29"/>
  <c r="L62" i="24" s="1"/>
  <c r="P71" i="29"/>
  <c r="L78" i="24" s="1"/>
  <c r="P103" i="29"/>
  <c r="L110" i="24" s="1"/>
  <c r="V108" i="29"/>
  <c r="P115" i="24" s="1"/>
  <c r="O42" i="29"/>
  <c r="O70" i="29"/>
  <c r="O106" i="29"/>
  <c r="S105" i="29"/>
  <c r="N112" i="24" s="1"/>
  <c r="O40" i="29"/>
  <c r="P56" i="29"/>
  <c r="L63" i="24" s="1"/>
  <c r="O88" i="29"/>
  <c r="O104" i="29"/>
  <c r="P85" i="29"/>
  <c r="L92" i="24" s="1"/>
  <c r="O101" i="29"/>
  <c r="O45" i="29"/>
  <c r="O61" i="29"/>
  <c r="O73" i="29"/>
  <c r="S102" i="29"/>
  <c r="N109" i="24" s="1"/>
  <c r="O74" i="29"/>
  <c r="O102" i="29"/>
  <c r="V109" i="29"/>
  <c r="P116" i="24" s="1"/>
  <c r="O43" i="29"/>
  <c r="O75" i="29"/>
  <c r="P107" i="29"/>
  <c r="L114" i="24" s="1"/>
  <c r="O46" i="29"/>
  <c r="O78" i="29"/>
  <c r="O44" i="29"/>
  <c r="P60" i="29"/>
  <c r="L67" i="24" s="1"/>
  <c r="O76" i="29"/>
  <c r="P108" i="29"/>
  <c r="L115" i="24" s="1"/>
  <c r="O89" i="29"/>
  <c r="P105" i="29"/>
  <c r="L112" i="24" s="1"/>
  <c r="V99" i="29"/>
  <c r="P106" i="24" s="1"/>
  <c r="O107" i="29"/>
  <c r="O91" i="29"/>
  <c r="O87" i="29"/>
  <c r="S99" i="29"/>
  <c r="N106" i="24" s="1"/>
  <c r="O50" i="29"/>
  <c r="K57" i="24" s="1"/>
  <c r="O82" i="29"/>
  <c r="O32" i="29"/>
  <c r="O47" i="29"/>
  <c r="O79" i="29"/>
  <c r="P95" i="29"/>
  <c r="L102" i="24" s="1"/>
  <c r="V88" i="29"/>
  <c r="P95" i="24" s="1"/>
  <c r="S103" i="29"/>
  <c r="N110" i="24" s="1"/>
  <c r="O54" i="29"/>
  <c r="O86" i="29"/>
  <c r="V34" i="29"/>
  <c r="P41" i="24" s="1"/>
  <c r="V50" i="29"/>
  <c r="P57" i="24" s="1"/>
  <c r="S50" i="29"/>
  <c r="N57" i="24" s="1"/>
  <c r="O33" i="29"/>
  <c r="O64" i="29"/>
  <c r="O80" i="29"/>
  <c r="P96" i="29"/>
  <c r="L103" i="24" s="1"/>
  <c r="O77" i="29"/>
  <c r="O93" i="29"/>
  <c r="P109" i="29"/>
  <c r="L116" i="24" s="1"/>
  <c r="O63" i="29"/>
  <c r="O67" i="29"/>
  <c r="O83" i="29"/>
  <c r="O30" i="29"/>
  <c r="O31" i="29"/>
  <c r="O65" i="29"/>
  <c r="K72" i="24" l="1"/>
  <c r="K84" i="24"/>
  <c r="K40" i="24"/>
  <c r="K93" i="24"/>
  <c r="K89" i="24"/>
  <c r="K96" i="24"/>
  <c r="K82" i="24"/>
  <c r="K81" i="24"/>
  <c r="K113" i="24"/>
  <c r="K79" i="24"/>
  <c r="K88" i="24"/>
  <c r="K73" i="24"/>
  <c r="K60" i="24"/>
  <c r="K102" i="24"/>
  <c r="K31" i="24"/>
  <c r="K9" i="24"/>
  <c r="K12" i="24"/>
  <c r="K14" i="24"/>
  <c r="K37" i="24"/>
  <c r="K87" i="24"/>
  <c r="K54" i="24"/>
  <c r="K83" i="24"/>
  <c r="K53" i="24"/>
  <c r="K80" i="24"/>
  <c r="K47" i="24"/>
  <c r="K49" i="24"/>
  <c r="K105" i="24"/>
  <c r="K76" i="24"/>
  <c r="K58" i="24"/>
  <c r="K42" i="24"/>
  <c r="K48" i="24"/>
  <c r="K64" i="24"/>
  <c r="K78" i="24"/>
  <c r="K17" i="24"/>
  <c r="K34" i="24"/>
  <c r="K36" i="24"/>
  <c r="K32" i="24"/>
  <c r="K62" i="24"/>
  <c r="K35" i="24"/>
  <c r="K63" i="24"/>
  <c r="K13" i="24"/>
  <c r="K59" i="24"/>
  <c r="K115" i="24"/>
  <c r="K74" i="24"/>
  <c r="K98" i="24"/>
  <c r="K51" i="24"/>
  <c r="K52" i="24"/>
  <c r="K95" i="24"/>
  <c r="K97" i="24"/>
  <c r="K110" i="24"/>
  <c r="K16" i="24"/>
  <c r="K90" i="24"/>
  <c r="K100" i="24"/>
  <c r="K71" i="24"/>
  <c r="K39" i="24"/>
  <c r="K94" i="24"/>
  <c r="K109" i="24"/>
  <c r="K68" i="24"/>
  <c r="K111" i="24"/>
  <c r="K46" i="24"/>
  <c r="K69" i="24"/>
  <c r="K44" i="24"/>
  <c r="K55" i="24"/>
  <c r="K104" i="24"/>
  <c r="K75" i="24"/>
  <c r="K101" i="24"/>
  <c r="K99" i="24"/>
  <c r="K33" i="24"/>
  <c r="K20" i="24"/>
  <c r="K21" i="24"/>
  <c r="K19" i="24"/>
  <c r="K26" i="24"/>
  <c r="K23" i="24"/>
  <c r="K29" i="24"/>
  <c r="K30" i="24"/>
  <c r="K24" i="24"/>
  <c r="K92" i="24"/>
  <c r="K56" i="24"/>
  <c r="K38" i="24"/>
  <c r="K70" i="24"/>
  <c r="K61" i="24"/>
  <c r="K86" i="24"/>
  <c r="K114" i="24"/>
  <c r="K85" i="24"/>
  <c r="K50" i="24"/>
  <c r="K108" i="24"/>
  <c r="K77" i="24"/>
  <c r="K41" i="24"/>
  <c r="K67" i="24"/>
  <c r="K45" i="24"/>
  <c r="K107" i="24"/>
  <c r="K106" i="24"/>
  <c r="K65" i="24"/>
  <c r="K66" i="24"/>
  <c r="K43" i="24"/>
  <c r="K91" i="24"/>
  <c r="K18" i="24"/>
  <c r="K22" i="24"/>
  <c r="K25" i="24"/>
  <c r="K28" i="24"/>
  <c r="K15" i="24"/>
  <c r="K10" i="24"/>
  <c r="K27" i="24"/>
  <c r="K11" i="24"/>
  <c r="K112" i="24"/>
  <c r="K103" i="24"/>
  <c r="M50" i="29"/>
  <c r="J57" i="24" s="1"/>
  <c r="H112" i="5"/>
  <c r="H98" i="5"/>
  <c r="H100" i="5"/>
  <c r="H99" i="5"/>
  <c r="H102" i="5"/>
  <c r="H101" i="5"/>
  <c r="H103" i="5"/>
  <c r="C32" i="6" l="1"/>
  <c r="C11" i="6"/>
  <c r="H89" i="5"/>
  <c r="H97" i="5"/>
  <c r="H105" i="5"/>
  <c r="H96" i="5"/>
  <c r="H113" i="5"/>
  <c r="H92" i="5"/>
  <c r="H90" i="5"/>
  <c r="H110" i="5"/>
  <c r="H88" i="5"/>
  <c r="H104" i="5"/>
  <c r="H106" i="5"/>
  <c r="H111" i="5"/>
  <c r="H87" i="5"/>
  <c r="H108" i="5"/>
  <c r="H91" i="5"/>
  <c r="H107" i="5"/>
  <c r="H95" i="5"/>
  <c r="H94" i="5"/>
  <c r="H109" i="5"/>
  <c r="H93" i="5"/>
  <c r="O391" i="32" l="1"/>
  <c r="I36" i="6"/>
  <c r="I22" i="6"/>
  <c r="I9" i="6"/>
  <c r="H37" i="1"/>
  <c r="H25" i="1"/>
  <c r="F27" i="6"/>
  <c r="C27" i="6" l="1"/>
  <c r="C24" i="6" s="1"/>
  <c r="O389" i="32"/>
  <c r="O367" i="32"/>
  <c r="O373" i="32"/>
  <c r="O385" i="32"/>
  <c r="O370" i="32"/>
  <c r="O384" i="32"/>
  <c r="O366" i="32"/>
  <c r="O388" i="32"/>
  <c r="O383" i="32"/>
  <c r="O386" i="32"/>
  <c r="O365" i="32"/>
  <c r="O379" i="32"/>
  <c r="O376" i="32"/>
  <c r="O369" i="32"/>
  <c r="O372" i="32"/>
  <c r="O371" i="32"/>
  <c r="O380" i="32"/>
  <c r="O374" i="32"/>
  <c r="O387" i="32"/>
  <c r="O375" i="32"/>
  <c r="O368" i="32"/>
  <c r="O377" i="32"/>
  <c r="O390" i="32"/>
  <c r="O378" i="32"/>
  <c r="O381" i="32"/>
  <c r="O382" i="32"/>
  <c r="I87" i="5" l="1"/>
  <c r="AA87" i="5" s="1"/>
  <c r="I91" i="5"/>
  <c r="O118" i="32"/>
  <c r="I85" i="5"/>
  <c r="AA85" i="5" s="1"/>
  <c r="I97" i="5"/>
  <c r="AA97" i="5" s="1"/>
  <c r="I112" i="5"/>
  <c r="I103" i="5"/>
  <c r="AA103" i="5" s="1"/>
  <c r="I4" i="5"/>
  <c r="F144" i="29" s="1"/>
  <c r="H144" i="29" s="1"/>
  <c r="O122" i="32"/>
  <c r="I95" i="5"/>
  <c r="AA95" i="5" s="1"/>
  <c r="I101" i="5"/>
  <c r="AA101" i="5" s="1"/>
  <c r="I111" i="5"/>
  <c r="AA111" i="5" s="1"/>
  <c r="I106" i="5"/>
  <c r="AA106" i="5" s="1"/>
  <c r="I110" i="5"/>
  <c r="AA110" i="5" s="1"/>
  <c r="I108" i="5"/>
  <c r="AA108" i="5" s="1"/>
  <c r="I93" i="5"/>
  <c r="AA93" i="5" s="1"/>
  <c r="I90" i="5"/>
  <c r="AA90" i="5" s="1"/>
  <c r="I99" i="5"/>
  <c r="AA99" i="5" s="1"/>
  <c r="I86" i="5"/>
  <c r="F464" i="29" s="1"/>
  <c r="H464" i="29" s="1"/>
  <c r="O119" i="32"/>
  <c r="I113" i="5"/>
  <c r="AA113" i="5" s="1"/>
  <c r="I104" i="5"/>
  <c r="I98" i="5"/>
  <c r="AA98" i="5" s="1"/>
  <c r="I89" i="5"/>
  <c r="AA89" i="5" s="1"/>
  <c r="I107" i="5"/>
  <c r="AA107" i="5" s="1"/>
  <c r="I92" i="5"/>
  <c r="AA92" i="5" s="1"/>
  <c r="I88" i="5"/>
  <c r="AA88" i="5" s="1"/>
  <c r="I105" i="5"/>
  <c r="AA105" i="5" s="1"/>
  <c r="I94" i="5"/>
  <c r="AA94" i="5" s="1"/>
  <c r="I102" i="5"/>
  <c r="AA102" i="5" s="1"/>
  <c r="I96" i="5"/>
  <c r="AA96" i="5" s="1"/>
  <c r="I109" i="5"/>
  <c r="AA109" i="5" s="1"/>
  <c r="I100" i="5"/>
  <c r="AA100" i="5" s="1"/>
  <c r="AA86" i="5" l="1"/>
  <c r="AA4" i="5"/>
  <c r="M21" i="5"/>
  <c r="N20" i="5"/>
  <c r="M20" i="5"/>
  <c r="AA104" i="5"/>
  <c r="N19" i="5"/>
  <c r="L20" i="5"/>
  <c r="L19" i="5"/>
  <c r="N21" i="5"/>
  <c r="AA112" i="5"/>
  <c r="AA91" i="5"/>
  <c r="M19" i="5"/>
  <c r="L21" i="5"/>
  <c r="O21" i="5" l="1"/>
  <c r="E13" i="34" s="1"/>
  <c r="O20" i="5"/>
  <c r="E12" i="34" s="1"/>
  <c r="O19" i="5"/>
  <c r="E11" i="34" l="1"/>
  <c r="I8" i="12"/>
  <c r="I7" i="12"/>
  <c r="I6" i="12"/>
  <c r="O64" i="32"/>
  <c r="O65" i="32"/>
  <c r="O66" i="32"/>
  <c r="Y104" i="5"/>
  <c r="AB104" i="5" s="1"/>
  <c r="Y101" i="5"/>
  <c r="AB101" i="5" s="1"/>
  <c r="Y108" i="5"/>
  <c r="AB108" i="5" s="1"/>
  <c r="Y90" i="5"/>
  <c r="AB90" i="5" s="1"/>
  <c r="Y103" i="5"/>
  <c r="AB103" i="5" s="1"/>
  <c r="Y92" i="5"/>
  <c r="AB92" i="5" s="1"/>
  <c r="Y89" i="5"/>
  <c r="AB89" i="5" s="1"/>
  <c r="Y88" i="5"/>
  <c r="AB88" i="5" s="1"/>
  <c r="Y95" i="5"/>
  <c r="AB95" i="5" s="1"/>
  <c r="Y97" i="5"/>
  <c r="AB97" i="5" s="1"/>
  <c r="Y98" i="5"/>
  <c r="AB98" i="5" s="1"/>
  <c r="Y102" i="5"/>
  <c r="AB102" i="5" s="1"/>
  <c r="Y99" i="5"/>
  <c r="AB99" i="5" s="1"/>
  <c r="Y112" i="5"/>
  <c r="AB112" i="5" s="1"/>
  <c r="Y110" i="5"/>
  <c r="AB110" i="5" s="1"/>
  <c r="Y107" i="5"/>
  <c r="AB107" i="5" s="1"/>
  <c r="Y93" i="5"/>
  <c r="AB93" i="5" s="1"/>
  <c r="Y91" i="5"/>
  <c r="AB91" i="5" s="1"/>
  <c r="Y94" i="5"/>
  <c r="AB94" i="5" s="1"/>
  <c r="Y87" i="5"/>
  <c r="AB87" i="5" s="1"/>
  <c r="Y111" i="5"/>
  <c r="AB111" i="5" s="1"/>
  <c r="Y106" i="5"/>
  <c r="AB106" i="5" s="1"/>
  <c r="Y109" i="5"/>
  <c r="AB109" i="5" s="1"/>
  <c r="Y113" i="5"/>
  <c r="AB113" i="5" s="1"/>
  <c r="O18" i="5"/>
  <c r="E10" i="34" s="1"/>
  <c r="Y96" i="5"/>
  <c r="AB96" i="5" s="1"/>
  <c r="Y105" i="5"/>
  <c r="AB105" i="5" s="1"/>
  <c r="Y100" i="5"/>
  <c r="AB100" i="5" s="1"/>
  <c r="S3" i="5" l="1"/>
  <c r="J7" i="12"/>
  <c r="O63" i="32"/>
  <c r="E70" i="16" l="1"/>
  <c r="E58" i="16"/>
  <c r="C27" i="16"/>
  <c r="E60" i="16"/>
  <c r="C62" i="16"/>
  <c r="E69" i="16"/>
  <c r="E67" i="16"/>
  <c r="E17" i="16"/>
  <c r="E9" i="16"/>
  <c r="C12" i="16"/>
  <c r="C36" i="16"/>
  <c r="E8" i="16"/>
  <c r="E30" i="16"/>
  <c r="E42" i="16"/>
  <c r="E32" i="16"/>
  <c r="E68" i="16"/>
  <c r="E34" i="16"/>
  <c r="E53" i="16"/>
  <c r="D26" i="16"/>
  <c r="E10" i="16"/>
  <c r="D35" i="16"/>
  <c r="E55" i="16"/>
  <c r="C5" i="16"/>
  <c r="D46" i="16"/>
  <c r="E15" i="16"/>
  <c r="E24" i="16"/>
  <c r="D61" i="16"/>
  <c r="E54" i="16"/>
  <c r="E21" i="16"/>
  <c r="E19" i="16"/>
  <c r="E23" i="16"/>
  <c r="E59" i="16"/>
  <c r="E73" i="16"/>
  <c r="E51" i="16"/>
  <c r="C47" i="16"/>
  <c r="E45" i="16"/>
  <c r="E74" i="16"/>
  <c r="E57" i="16"/>
  <c r="D11" i="16"/>
  <c r="E20" i="16"/>
  <c r="E44" i="16"/>
  <c r="E18" i="16"/>
  <c r="E50" i="16"/>
  <c r="E25" i="16"/>
  <c r="E41" i="16"/>
  <c r="E6" i="16"/>
  <c r="E7" i="16"/>
  <c r="E72" i="16"/>
  <c r="C3" i="16"/>
  <c r="P91" i="29" l="1"/>
  <c r="L98" i="24" s="1"/>
  <c r="P30" i="29" l="1"/>
  <c r="L37" i="24" s="1"/>
  <c r="P29" i="29"/>
  <c r="L36" i="24" s="1"/>
  <c r="P20" i="29"/>
  <c r="L27" i="24" s="1"/>
  <c r="P36" i="29"/>
  <c r="L43" i="24" s="1"/>
  <c r="P10" i="29"/>
  <c r="L17" i="24" s="1"/>
  <c r="P92" i="29"/>
  <c r="L99" i="24" s="1"/>
  <c r="P24" i="29"/>
  <c r="L31" i="24" s="1"/>
  <c r="P72" i="29"/>
  <c r="L79" i="24" s="1"/>
  <c r="P48" i="29"/>
  <c r="L55" i="24" s="1"/>
  <c r="P13" i="29"/>
  <c r="L20" i="24" s="1"/>
  <c r="P15" i="29"/>
  <c r="L22" i="24" s="1"/>
  <c r="P49" i="29"/>
  <c r="L56" i="24" s="1"/>
  <c r="P87" i="29"/>
  <c r="L94" i="24" s="1"/>
  <c r="H221" i="5"/>
  <c r="H119" i="5"/>
  <c r="H215" i="5"/>
  <c r="H35" i="5"/>
  <c r="H245" i="5"/>
  <c r="H34" i="5"/>
  <c r="H205" i="5"/>
  <c r="H46" i="5"/>
  <c r="H174" i="5"/>
  <c r="H263" i="5"/>
  <c r="H182" i="5"/>
  <c r="H287" i="5"/>
  <c r="H37" i="5"/>
  <c r="H165" i="5"/>
  <c r="H57" i="5"/>
  <c r="H55" i="5"/>
  <c r="H288" i="5"/>
  <c r="H281" i="5"/>
  <c r="H309" i="5"/>
  <c r="H145" i="5"/>
  <c r="H235" i="5"/>
  <c r="H188" i="5"/>
  <c r="H47" i="5"/>
  <c r="H238" i="5"/>
  <c r="H192" i="5"/>
  <c r="H69" i="5"/>
  <c r="H239" i="5"/>
  <c r="H210" i="5"/>
  <c r="H237" i="5"/>
  <c r="H207" i="5"/>
  <c r="H149" i="5"/>
  <c r="H171" i="5"/>
  <c r="H146" i="5"/>
  <c r="H180" i="5"/>
  <c r="H125" i="5"/>
  <c r="H321" i="5"/>
  <c r="H30" i="5"/>
  <c r="H41" i="5"/>
  <c r="H324" i="5"/>
  <c r="H168" i="5"/>
  <c r="H304" i="5"/>
  <c r="H227" i="5"/>
  <c r="H50" i="5"/>
  <c r="H38" i="5"/>
  <c r="H303" i="5"/>
  <c r="H274" i="5"/>
  <c r="H300" i="5"/>
  <c r="H244" i="5"/>
  <c r="H183" i="5"/>
  <c r="H202" i="5"/>
  <c r="H313" i="5"/>
  <c r="H251" i="5"/>
  <c r="H320" i="5"/>
  <c r="H172" i="5"/>
  <c r="H115" i="5"/>
  <c r="H298" i="5"/>
  <c r="H270" i="5"/>
  <c r="H308" i="5"/>
  <c r="H184" i="5"/>
  <c r="H173" i="5"/>
  <c r="H178" i="5"/>
  <c r="H12" i="5"/>
  <c r="H176" i="5"/>
  <c r="H292" i="5"/>
  <c r="H121" i="5"/>
  <c r="H325" i="5"/>
  <c r="H127" i="5"/>
  <c r="H74" i="5"/>
  <c r="H228" i="5"/>
  <c r="H291" i="5"/>
  <c r="H2" i="5"/>
  <c r="H78" i="5"/>
  <c r="H130" i="5"/>
  <c r="H230" i="5"/>
  <c r="H296" i="5"/>
  <c r="H150" i="5"/>
  <c r="H257" i="5"/>
  <c r="H83" i="5"/>
  <c r="H62" i="5"/>
  <c r="H282" i="5"/>
  <c r="H23" i="5"/>
  <c r="H195" i="5"/>
  <c r="H266" i="5"/>
  <c r="H209" i="5"/>
  <c r="H64" i="5"/>
  <c r="H140" i="5"/>
  <c r="H144" i="5"/>
  <c r="H217" i="5"/>
  <c r="H250" i="5"/>
  <c r="H147" i="5"/>
  <c r="H315" i="5"/>
  <c r="H214" i="5"/>
  <c r="H40" i="5"/>
  <c r="H114" i="5"/>
  <c r="H154" i="5"/>
  <c r="H213" i="5"/>
  <c r="H212" i="5"/>
  <c r="H234" i="5"/>
  <c r="H43" i="5"/>
  <c r="H71" i="5"/>
  <c r="H246" i="5"/>
  <c r="H142" i="5"/>
  <c r="H297" i="5"/>
  <c r="H225" i="5"/>
  <c r="H135" i="5"/>
  <c r="H248" i="5"/>
  <c r="H260" i="5"/>
  <c r="H218" i="5"/>
  <c r="H179" i="5"/>
  <c r="H305" i="5"/>
  <c r="H60" i="5"/>
  <c r="H275" i="5"/>
  <c r="H153" i="5"/>
  <c r="H204" i="5"/>
  <c r="H190" i="5"/>
  <c r="H156" i="5"/>
  <c r="H44" i="5"/>
  <c r="H229" i="5"/>
  <c r="H189" i="5"/>
  <c r="H32" i="5"/>
  <c r="H29" i="5"/>
  <c r="H56" i="5"/>
  <c r="H61" i="5"/>
  <c r="H286" i="5"/>
  <c r="H22" i="5"/>
  <c r="H232" i="5"/>
  <c r="H66" i="5"/>
  <c r="H141" i="5"/>
  <c r="H194" i="5"/>
  <c r="H160" i="5"/>
  <c r="H166" i="5"/>
  <c r="H307" i="5"/>
  <c r="H219" i="5"/>
  <c r="H25" i="5"/>
  <c r="H6" i="5"/>
  <c r="H21" i="5"/>
  <c r="H164" i="5"/>
  <c r="H299" i="5"/>
  <c r="H122" i="5"/>
  <c r="H191" i="5"/>
  <c r="H133" i="5"/>
  <c r="H302" i="5"/>
  <c r="H8" i="5"/>
  <c r="H138" i="5"/>
  <c r="H259" i="5"/>
  <c r="H48" i="5"/>
  <c r="H7" i="5"/>
  <c r="H285" i="5"/>
  <c r="H49" i="5"/>
  <c r="H132" i="5"/>
  <c r="H314" i="5"/>
  <c r="H19" i="5"/>
  <c r="H289" i="5"/>
  <c r="H318" i="5"/>
  <c r="H36" i="5"/>
  <c r="H26" i="5"/>
  <c r="H199" i="5"/>
  <c r="H295" i="5"/>
  <c r="H258" i="5"/>
  <c r="H200" i="5"/>
  <c r="H278" i="5"/>
  <c r="H148" i="5"/>
  <c r="H253" i="5"/>
  <c r="H137" i="5"/>
  <c r="H128" i="5"/>
  <c r="H277" i="5"/>
  <c r="H196" i="5"/>
  <c r="H31" i="5"/>
  <c r="H51" i="5"/>
  <c r="H79" i="5"/>
  <c r="H271" i="5"/>
  <c r="H72" i="5"/>
  <c r="H198" i="5"/>
  <c r="H123" i="5"/>
  <c r="H301" i="5"/>
  <c r="H224" i="5"/>
  <c r="H53" i="5"/>
  <c r="H316" i="5"/>
  <c r="H155" i="5"/>
  <c r="H294" i="5"/>
  <c r="H226" i="5"/>
  <c r="H11" i="5"/>
  <c r="H247" i="5"/>
  <c r="H201" i="5"/>
  <c r="H151" i="5"/>
  <c r="H80" i="5"/>
  <c r="H252" i="5"/>
  <c r="H18" i="5"/>
  <c r="H162" i="5"/>
  <c r="H73" i="5"/>
  <c r="H52" i="5"/>
  <c r="H39" i="5"/>
  <c r="H280" i="5"/>
  <c r="H157" i="5"/>
  <c r="H272" i="5"/>
  <c r="H193" i="5"/>
  <c r="H312" i="5"/>
  <c r="H261" i="5"/>
  <c r="H326" i="5"/>
  <c r="H131" i="5"/>
  <c r="H276" i="5"/>
  <c r="H65" i="5"/>
  <c r="H63" i="5"/>
  <c r="H293" i="5"/>
  <c r="H319" i="5"/>
  <c r="H262" i="5"/>
  <c r="H310" i="5"/>
  <c r="H187" i="5"/>
  <c r="H269" i="5"/>
  <c r="H9" i="5"/>
  <c r="H256" i="5"/>
  <c r="H84" i="5"/>
  <c r="H77" i="5"/>
  <c r="H68" i="5"/>
  <c r="H117" i="5"/>
  <c r="H82" i="5"/>
  <c r="H283" i="5"/>
  <c r="H10" i="5"/>
  <c r="H33" i="5"/>
  <c r="H311" i="5"/>
  <c r="H159" i="5"/>
  <c r="H163" i="5"/>
  <c r="H240" i="5"/>
  <c r="H284" i="5"/>
  <c r="H120" i="5"/>
  <c r="H175" i="5"/>
  <c r="H143" i="5"/>
  <c r="H81" i="5"/>
  <c r="H158" i="5"/>
  <c r="H124" i="5"/>
  <c r="H265" i="5"/>
  <c r="H54" i="5"/>
  <c r="H24" i="5"/>
  <c r="H167" i="5"/>
  <c r="H3" i="5"/>
  <c r="H186" i="5"/>
  <c r="H185" i="5"/>
  <c r="H222" i="5"/>
  <c r="H17" i="5"/>
  <c r="H177" i="5"/>
  <c r="H75" i="5"/>
  <c r="H211" i="5"/>
  <c r="H20" i="5"/>
  <c r="H290" i="5"/>
  <c r="H116" i="5"/>
  <c r="H317" i="5"/>
  <c r="H67" i="5"/>
  <c r="H136" i="5"/>
  <c r="H223" i="5"/>
  <c r="H208" i="5"/>
  <c r="H236" i="5"/>
  <c r="H268" i="5"/>
  <c r="H42" i="5"/>
  <c r="H59" i="5"/>
  <c r="H76" i="5"/>
  <c r="H70" i="5"/>
  <c r="H255" i="5"/>
  <c r="H220" i="5"/>
  <c r="H169" i="5"/>
  <c r="H126" i="5"/>
  <c r="H28" i="5"/>
  <c r="H264" i="5"/>
  <c r="H58" i="5"/>
  <c r="H27" i="5"/>
  <c r="H323" i="5"/>
  <c r="H170" i="5"/>
  <c r="H267" i="5"/>
  <c r="H279" i="5"/>
  <c r="H322" i="5"/>
  <c r="H243" i="5"/>
  <c r="H152" i="5"/>
  <c r="H231" i="5"/>
  <c r="H134" i="5"/>
  <c r="H233" i="5"/>
  <c r="H129" i="5"/>
  <c r="H203" i="5"/>
  <c r="H5" i="5"/>
  <c r="H254" i="5"/>
  <c r="H306" i="5"/>
  <c r="H197" i="5"/>
  <c r="H242" i="5"/>
  <c r="H118" i="5"/>
  <c r="H161" i="5"/>
  <c r="H216" i="5"/>
  <c r="H45" i="5"/>
  <c r="H273" i="5"/>
  <c r="H206" i="5"/>
  <c r="H249" i="5"/>
  <c r="H241" i="5"/>
  <c r="H139" i="5"/>
  <c r="O120" i="32" l="1"/>
  <c r="I267" i="5"/>
  <c r="O144" i="32"/>
  <c r="I14" i="5"/>
  <c r="O132" i="32"/>
  <c r="O297" i="32"/>
  <c r="I28" i="5"/>
  <c r="I7" i="5"/>
  <c r="O125" i="32"/>
  <c r="I115" i="5"/>
  <c r="O236" i="32"/>
  <c r="I297" i="5"/>
  <c r="O263" i="32"/>
  <c r="I269" i="5"/>
  <c r="O146" i="32"/>
  <c r="I125" i="5"/>
  <c r="O246" i="32"/>
  <c r="I124" i="5"/>
  <c r="O245" i="32"/>
  <c r="I278" i="5"/>
  <c r="O155" i="32"/>
  <c r="O197" i="32"/>
  <c r="I259" i="5"/>
  <c r="AA259" i="5" s="1"/>
  <c r="O212" i="32"/>
  <c r="I191" i="5"/>
  <c r="AA191" i="5" s="1"/>
  <c r="I316" i="5"/>
  <c r="O282" i="32"/>
  <c r="I195" i="5"/>
  <c r="O216" i="32"/>
  <c r="I168" i="5"/>
  <c r="O351" i="32"/>
  <c r="I272" i="5"/>
  <c r="O149" i="32"/>
  <c r="I167" i="5"/>
  <c r="O350" i="32"/>
  <c r="O86" i="32"/>
  <c r="I233" i="5"/>
  <c r="O205" i="32"/>
  <c r="I184" i="5"/>
  <c r="O124" i="32"/>
  <c r="I6" i="5"/>
  <c r="I152" i="5"/>
  <c r="O335" i="32"/>
  <c r="O269" i="32"/>
  <c r="I303" i="5"/>
  <c r="I293" i="5"/>
  <c r="AA293" i="5" s="1"/>
  <c r="O170" i="32"/>
  <c r="I143" i="5"/>
  <c r="O326" i="32"/>
  <c r="O99" i="32"/>
  <c r="I66" i="5"/>
  <c r="O220" i="32"/>
  <c r="I199" i="5"/>
  <c r="O178" i="32"/>
  <c r="I240" i="5"/>
  <c r="O343" i="32"/>
  <c r="I160" i="5"/>
  <c r="I217" i="5"/>
  <c r="O70" i="32"/>
  <c r="O87" i="32"/>
  <c r="I234" i="5"/>
  <c r="AA234" i="5" s="1"/>
  <c r="I326" i="5"/>
  <c r="AA326" i="5" s="1"/>
  <c r="O292" i="32"/>
  <c r="I192" i="5"/>
  <c r="AA192" i="5" s="1"/>
  <c r="O213" i="32"/>
  <c r="I134" i="5"/>
  <c r="O255" i="32"/>
  <c r="O156" i="32"/>
  <c r="I279" i="5"/>
  <c r="I218" i="5"/>
  <c r="O71" i="32"/>
  <c r="O69" i="32"/>
  <c r="I216" i="5"/>
  <c r="O336" i="32"/>
  <c r="I153" i="5"/>
  <c r="AA153" i="5" s="1"/>
  <c r="I254" i="5"/>
  <c r="AA254" i="5" s="1"/>
  <c r="O192" i="32"/>
  <c r="O232" i="32"/>
  <c r="I211" i="5"/>
  <c r="O339" i="32"/>
  <c r="I156" i="5"/>
  <c r="AA156" i="5" s="1"/>
  <c r="O274" i="32"/>
  <c r="I308" i="5"/>
  <c r="O275" i="32"/>
  <c r="I309" i="5"/>
  <c r="I281" i="5"/>
  <c r="O158" i="32"/>
  <c r="O184" i="32"/>
  <c r="I246" i="5"/>
  <c r="O193" i="32"/>
  <c r="I255" i="5"/>
  <c r="AA255" i="5" s="1"/>
  <c r="O207" i="32"/>
  <c r="I186" i="5"/>
  <c r="I232" i="5"/>
  <c r="O85" i="32"/>
  <c r="O268" i="32"/>
  <c r="I302" i="5"/>
  <c r="I48" i="5"/>
  <c r="O317" i="32"/>
  <c r="I133" i="5"/>
  <c r="O254" i="32"/>
  <c r="O340" i="32"/>
  <c r="I157" i="5"/>
  <c r="I61" i="5"/>
  <c r="O94" i="32"/>
  <c r="I268" i="5"/>
  <c r="O145" i="32"/>
  <c r="I214" i="5"/>
  <c r="O67" i="32"/>
  <c r="I18" i="5"/>
  <c r="AA18" i="5" s="1"/>
  <c r="O136" i="32"/>
  <c r="O203" i="32"/>
  <c r="I182" i="5"/>
  <c r="O117" i="32"/>
  <c r="I84" i="5"/>
  <c r="I21" i="5"/>
  <c r="O139" i="32"/>
  <c r="O348" i="32"/>
  <c r="I165" i="5"/>
  <c r="O277" i="32"/>
  <c r="I311" i="5"/>
  <c r="O100" i="32"/>
  <c r="I67" i="5"/>
  <c r="I201" i="5"/>
  <c r="O222" i="32"/>
  <c r="O88" i="32"/>
  <c r="I235" i="5"/>
  <c r="O303" i="32"/>
  <c r="I34" i="5"/>
  <c r="I263" i="5"/>
  <c r="AA263" i="5" s="1"/>
  <c r="O201" i="32"/>
  <c r="I166" i="5"/>
  <c r="O349" i="32"/>
  <c r="I174" i="5"/>
  <c r="O357" i="32"/>
  <c r="O202" i="32"/>
  <c r="I264" i="5"/>
  <c r="AA264" i="5" s="1"/>
  <c r="O242" i="32"/>
  <c r="I121" i="5"/>
  <c r="O101" i="32"/>
  <c r="I68" i="5"/>
  <c r="I202" i="5"/>
  <c r="O223" i="32"/>
  <c r="O74" i="32"/>
  <c r="I221" i="5"/>
  <c r="O183" i="32"/>
  <c r="I245" i="5"/>
  <c r="I222" i="5"/>
  <c r="AA222" i="5" s="1"/>
  <c r="O75" i="32"/>
  <c r="O304" i="32"/>
  <c r="I35" i="5"/>
  <c r="I179" i="5"/>
  <c r="O362" i="32"/>
  <c r="I295" i="5"/>
  <c r="AA295" i="5" s="1"/>
  <c r="O172" i="32"/>
  <c r="O116" i="32"/>
  <c r="I83" i="5"/>
  <c r="AA83" i="5" s="1"/>
  <c r="O244" i="32"/>
  <c r="I123" i="5"/>
  <c r="O196" i="32"/>
  <c r="I258" i="5"/>
  <c r="O363" i="32"/>
  <c r="I180" i="5"/>
  <c r="AA180" i="5" s="1"/>
  <c r="O273" i="32"/>
  <c r="I307" i="5"/>
  <c r="O331" i="32"/>
  <c r="I148" i="5"/>
  <c r="I225" i="5"/>
  <c r="O78" i="32"/>
  <c r="O161" i="32"/>
  <c r="I284" i="5"/>
  <c r="O251" i="32"/>
  <c r="I130" i="5"/>
  <c r="O320" i="32"/>
  <c r="I51" i="5"/>
  <c r="AA51" i="5" s="1"/>
  <c r="O308" i="32"/>
  <c r="I39" i="5"/>
  <c r="O347" i="32"/>
  <c r="I164" i="5"/>
  <c r="O163" i="32"/>
  <c r="I286" i="5"/>
  <c r="O330" i="32"/>
  <c r="I147" i="5"/>
  <c r="AA147" i="5" s="1"/>
  <c r="O312" i="32"/>
  <c r="I43" i="5"/>
  <c r="I298" i="5"/>
  <c r="O264" i="32"/>
  <c r="O107" i="32"/>
  <c r="I74" i="5"/>
  <c r="I137" i="5"/>
  <c r="AA137" i="5" s="1"/>
  <c r="O258" i="32"/>
  <c r="O288" i="32"/>
  <c r="I322" i="5"/>
  <c r="AA322" i="5" s="1"/>
  <c r="I150" i="5"/>
  <c r="O333" i="32"/>
  <c r="O342" i="32"/>
  <c r="I159" i="5"/>
  <c r="AA159" i="5" s="1"/>
  <c r="I231" i="5"/>
  <c r="O84" i="32"/>
  <c r="O272" i="32"/>
  <c r="I306" i="5"/>
  <c r="O143" i="32"/>
  <c r="I266" i="5"/>
  <c r="I265" i="5"/>
  <c r="O142" i="32"/>
  <c r="I177" i="5"/>
  <c r="AA177" i="5" s="1"/>
  <c r="O360" i="32"/>
  <c r="O261" i="32"/>
  <c r="I140" i="5"/>
  <c r="AA140" i="5" s="1"/>
  <c r="I2" i="5"/>
  <c r="O91" i="32"/>
  <c r="I58" i="5"/>
  <c r="O188" i="32"/>
  <c r="I250" i="5"/>
  <c r="I283" i="5"/>
  <c r="O160" i="32"/>
  <c r="I9" i="5"/>
  <c r="O127" i="32"/>
  <c r="I129" i="5"/>
  <c r="O250" i="32"/>
  <c r="O332" i="32"/>
  <c r="I149" i="5"/>
  <c r="O93" i="32"/>
  <c r="I60" i="5"/>
  <c r="I190" i="5"/>
  <c r="O211" i="32"/>
  <c r="I305" i="5"/>
  <c r="O271" i="32"/>
  <c r="O225" i="32"/>
  <c r="I204" i="5"/>
  <c r="O309" i="32"/>
  <c r="I40" i="5"/>
  <c r="O285" i="32"/>
  <c r="I319" i="5"/>
  <c r="AA319" i="5" s="1"/>
  <c r="O356" i="32"/>
  <c r="I173" i="5"/>
  <c r="I19" i="5"/>
  <c r="AA19" i="5" s="1"/>
  <c r="O137" i="32"/>
  <c r="O109" i="32"/>
  <c r="I76" i="5"/>
  <c r="O290" i="32"/>
  <c r="I324" i="5"/>
  <c r="I135" i="5"/>
  <c r="O256" i="32"/>
  <c r="I220" i="5"/>
  <c r="O73" i="32"/>
  <c r="O334" i="32"/>
  <c r="I151" i="5"/>
  <c r="AA151" i="5" s="1"/>
  <c r="O252" i="32"/>
  <c r="I131" i="5"/>
  <c r="I285" i="5"/>
  <c r="O162" i="32"/>
  <c r="I323" i="5"/>
  <c r="AA323" i="5" s="1"/>
  <c r="O289" i="32"/>
  <c r="I208" i="5"/>
  <c r="AA208" i="5" s="1"/>
  <c r="O229" i="32"/>
  <c r="O92" i="32"/>
  <c r="I59" i="5"/>
  <c r="O104" i="32"/>
  <c r="I71" i="5"/>
  <c r="O311" i="32"/>
  <c r="I42" i="5"/>
  <c r="O238" i="32"/>
  <c r="I117" i="5"/>
  <c r="O354" i="32"/>
  <c r="I171" i="5"/>
  <c r="AA171" i="5" s="1"/>
  <c r="O338" i="32"/>
  <c r="I155" i="5"/>
  <c r="I55" i="5"/>
  <c r="AA55" i="5" s="1"/>
  <c r="O324" i="32"/>
  <c r="O237" i="32"/>
  <c r="I116" i="5"/>
  <c r="I223" i="5"/>
  <c r="O76" i="32"/>
  <c r="I197" i="5"/>
  <c r="O218" i="32"/>
  <c r="I136" i="5"/>
  <c r="AA136" i="5" s="1"/>
  <c r="O257" i="32"/>
  <c r="I62" i="5"/>
  <c r="O95" i="32"/>
  <c r="O329" i="32"/>
  <c r="I146" i="5"/>
  <c r="AA146" i="5" s="1"/>
  <c r="O151" i="32"/>
  <c r="I274" i="5"/>
  <c r="O265" i="32"/>
  <c r="I299" i="5"/>
  <c r="I20" i="5"/>
  <c r="AA20" i="5" s="1"/>
  <c r="O138" i="32"/>
  <c r="I139" i="5"/>
  <c r="O260" i="32"/>
  <c r="I17" i="5"/>
  <c r="O135" i="32"/>
  <c r="O234" i="32"/>
  <c r="I213" i="5"/>
  <c r="AA213" i="5" s="1"/>
  <c r="I230" i="5"/>
  <c r="O83" i="32"/>
  <c r="O345" i="32"/>
  <c r="I162" i="5"/>
  <c r="O270" i="32"/>
  <c r="I304" i="5"/>
  <c r="O72" i="32"/>
  <c r="I219" i="5"/>
  <c r="AA219" i="5" s="1"/>
  <c r="I26" i="5"/>
  <c r="O295" i="32"/>
  <c r="O344" i="32"/>
  <c r="I161" i="5"/>
  <c r="AA161" i="5" s="1"/>
  <c r="I114" i="5"/>
  <c r="O235" i="32"/>
  <c r="O224" i="32"/>
  <c r="I203" i="5"/>
  <c r="O81" i="32"/>
  <c r="I228" i="5"/>
  <c r="O209" i="32"/>
  <c r="I188" i="5"/>
  <c r="O287" i="32"/>
  <c r="I321" i="5"/>
  <c r="AA321" i="5" s="1"/>
  <c r="I13" i="5"/>
  <c r="O131" i="32"/>
  <c r="I141" i="5"/>
  <c r="AA141" i="5" s="1"/>
  <c r="O262" i="32"/>
  <c r="O346" i="32"/>
  <c r="I163" i="5"/>
  <c r="O358" i="32"/>
  <c r="I175" i="5"/>
  <c r="I80" i="5"/>
  <c r="O113" i="32"/>
  <c r="I120" i="5"/>
  <c r="O241" i="32"/>
  <c r="I54" i="5"/>
  <c r="AA54" i="5" s="1"/>
  <c r="O323" i="32"/>
  <c r="O279" i="32"/>
  <c r="I313" i="5"/>
  <c r="I193" i="5"/>
  <c r="AA193" i="5" s="1"/>
  <c r="O214" i="32"/>
  <c r="O231" i="32"/>
  <c r="I210" i="5"/>
  <c r="I172" i="5"/>
  <c r="O355" i="32"/>
  <c r="O129" i="32"/>
  <c r="I11" i="5"/>
  <c r="O115" i="32"/>
  <c r="I82" i="5"/>
  <c r="AA82" i="5" s="1"/>
  <c r="I270" i="5"/>
  <c r="O147" i="32"/>
  <c r="I169" i="5"/>
  <c r="O352" i="32"/>
  <c r="I301" i="5"/>
  <c r="O267" i="32"/>
  <c r="I81" i="5"/>
  <c r="O114" i="32"/>
  <c r="I237" i="5"/>
  <c r="O175" i="32"/>
  <c r="O141" i="32"/>
  <c r="I23" i="5"/>
  <c r="AA23" i="5" s="1"/>
  <c r="I64" i="5"/>
  <c r="O97" i="32"/>
  <c r="I282" i="5"/>
  <c r="O159" i="32"/>
  <c r="O230" i="32"/>
  <c r="I209" i="5"/>
  <c r="O361" i="32"/>
  <c r="I178" i="5"/>
  <c r="AA178" i="5" s="1"/>
  <c r="I79" i="5"/>
  <c r="O112" i="32"/>
  <c r="O180" i="32"/>
  <c r="I242" i="5"/>
  <c r="O298" i="32"/>
  <c r="I29" i="5"/>
  <c r="O208" i="32"/>
  <c r="I187" i="5"/>
  <c r="AA187" i="5" s="1"/>
  <c r="O307" i="32"/>
  <c r="I38" i="5"/>
  <c r="I296" i="5"/>
  <c r="AA296" i="5" s="1"/>
  <c r="O173" i="32"/>
  <c r="I256" i="5"/>
  <c r="AA256" i="5" s="1"/>
  <c r="O194" i="32"/>
  <c r="O318" i="32"/>
  <c r="I49" i="5"/>
  <c r="O249" i="32"/>
  <c r="I128" i="5"/>
  <c r="O313" i="32"/>
  <c r="I44" i="5"/>
  <c r="I10" i="5"/>
  <c r="O128" i="32"/>
  <c r="I63" i="5"/>
  <c r="O96" i="32"/>
  <c r="O276" i="32"/>
  <c r="I310" i="5"/>
  <c r="O168" i="32"/>
  <c r="I291" i="5"/>
  <c r="AA291" i="5" s="1"/>
  <c r="I262" i="5"/>
  <c r="O200" i="32"/>
  <c r="O171" i="32"/>
  <c r="I294" i="5"/>
  <c r="I207" i="5"/>
  <c r="O228" i="32"/>
  <c r="O126" i="32"/>
  <c r="I8" i="5"/>
  <c r="O247" i="32"/>
  <c r="I126" i="5"/>
  <c r="I261" i="5"/>
  <c r="AA261" i="5" s="1"/>
  <c r="O199" i="32"/>
  <c r="I65" i="5"/>
  <c r="O98" i="32"/>
  <c r="I24" i="5"/>
  <c r="O293" i="32"/>
  <c r="I276" i="5"/>
  <c r="O153" i="32"/>
  <c r="I300" i="5"/>
  <c r="O266" i="32"/>
  <c r="O337" i="32"/>
  <c r="I154" i="5"/>
  <c r="AA154" i="5" s="1"/>
  <c r="O164" i="32"/>
  <c r="I287" i="5"/>
  <c r="I260" i="5"/>
  <c r="AA260" i="5" s="1"/>
  <c r="O198" i="32"/>
  <c r="O187" i="32"/>
  <c r="I249" i="5"/>
  <c r="I241" i="5"/>
  <c r="O179" i="32"/>
  <c r="O301" i="32"/>
  <c r="I32" i="5"/>
  <c r="AA32" i="5" s="1"/>
  <c r="O169" i="32"/>
  <c r="I292" i="5"/>
  <c r="AA292" i="5" s="1"/>
  <c r="O80" i="32"/>
  <c r="I227" i="5"/>
  <c r="I289" i="5"/>
  <c r="O166" i="32"/>
  <c r="I205" i="5"/>
  <c r="O226" i="32"/>
  <c r="I142" i="5"/>
  <c r="O325" i="32"/>
  <c r="I22" i="5"/>
  <c r="AA22" i="5" s="1"/>
  <c r="O140" i="32"/>
  <c r="I57" i="5"/>
  <c r="O90" i="32"/>
  <c r="I45" i="5"/>
  <c r="O314" i="32"/>
  <c r="O239" i="32"/>
  <c r="I118" i="5"/>
  <c r="O299" i="32"/>
  <c r="I30" i="5"/>
  <c r="I170" i="5"/>
  <c r="O353" i="32"/>
  <c r="O240" i="32"/>
  <c r="I119" i="5"/>
  <c r="O233" i="32"/>
  <c r="I212" i="5"/>
  <c r="AA212" i="5" s="1"/>
  <c r="I252" i="5"/>
  <c r="AA252" i="5" s="1"/>
  <c r="O190" i="32"/>
  <c r="O321" i="32"/>
  <c r="I52" i="5"/>
  <c r="AA52" i="5" s="1"/>
  <c r="O253" i="32"/>
  <c r="I132" i="5"/>
  <c r="O106" i="32"/>
  <c r="I73" i="5"/>
  <c r="O167" i="32"/>
  <c r="I290" i="5"/>
  <c r="I288" i="5"/>
  <c r="O165" i="32"/>
  <c r="O134" i="32"/>
  <c r="I16" i="5"/>
  <c r="I200" i="5"/>
  <c r="O221" i="32"/>
  <c r="I5" i="5"/>
  <c r="O123" i="32"/>
  <c r="I145" i="5"/>
  <c r="AA145" i="5" s="1"/>
  <c r="O328" i="32"/>
  <c r="I238" i="5"/>
  <c r="O176" i="32"/>
  <c r="I226" i="5"/>
  <c r="O79" i="32"/>
  <c r="O316" i="32"/>
  <c r="I47" i="5"/>
  <c r="I158" i="5"/>
  <c r="O341" i="32"/>
  <c r="I122" i="5"/>
  <c r="O243" i="32"/>
  <c r="O157" i="32"/>
  <c r="I280" i="5"/>
  <c r="O177" i="32"/>
  <c r="I239" i="5"/>
  <c r="I183" i="5"/>
  <c r="O204" i="32"/>
  <c r="I320" i="5"/>
  <c r="O286" i="32"/>
  <c r="O182" i="32"/>
  <c r="I244" i="5"/>
  <c r="O189" i="32"/>
  <c r="I251" i="5"/>
  <c r="AA251" i="5" s="1"/>
  <c r="O102" i="32"/>
  <c r="I69" i="5"/>
  <c r="I25" i="5"/>
  <c r="O294" i="32"/>
  <c r="O181" i="32"/>
  <c r="I243" i="5"/>
  <c r="O281" i="32"/>
  <c r="I315" i="5"/>
  <c r="O219" i="32"/>
  <c r="I198" i="5"/>
  <c r="O322" i="32"/>
  <c r="I53" i="5"/>
  <c r="O319" i="32"/>
  <c r="I50" i="5"/>
  <c r="AA50" i="5" s="1"/>
  <c r="I224" i="5"/>
  <c r="O77" i="32"/>
  <c r="I229" i="5"/>
  <c r="O82" i="32"/>
  <c r="O215" i="32"/>
  <c r="I194" i="5"/>
  <c r="O327" i="32"/>
  <c r="I144" i="5"/>
  <c r="O185" i="32"/>
  <c r="I247" i="5"/>
  <c r="O300" i="32"/>
  <c r="I31" i="5"/>
  <c r="I72" i="5"/>
  <c r="O105" i="32"/>
  <c r="I41" i="5"/>
  <c r="O310" i="32"/>
  <c r="I271" i="5"/>
  <c r="O148" i="32"/>
  <c r="O259" i="32"/>
  <c r="I138" i="5"/>
  <c r="AA138" i="5" s="1"/>
  <c r="O206" i="32"/>
  <c r="I185" i="5"/>
  <c r="I275" i="5"/>
  <c r="O152" i="32"/>
  <c r="I77" i="5"/>
  <c r="O110" i="32"/>
  <c r="O191" i="32"/>
  <c r="I253" i="5"/>
  <c r="I196" i="5"/>
  <c r="O217" i="32"/>
  <c r="O291" i="32"/>
  <c r="I325" i="5"/>
  <c r="AA325" i="5" s="1"/>
  <c r="I277" i="5"/>
  <c r="O154" i="32"/>
  <c r="I37" i="5"/>
  <c r="AA37" i="5" s="1"/>
  <c r="O306" i="32"/>
  <c r="I12" i="5"/>
  <c r="O130" i="32"/>
  <c r="O103" i="32"/>
  <c r="I70" i="5"/>
  <c r="O195" i="32"/>
  <c r="I257" i="5"/>
  <c r="AA257" i="5" s="1"/>
  <c r="O150" i="32"/>
  <c r="I273" i="5"/>
  <c r="I206" i="5"/>
  <c r="O227" i="32"/>
  <c r="I312" i="5"/>
  <c r="O278" i="32"/>
  <c r="O359" i="32"/>
  <c r="I176" i="5"/>
  <c r="AA176" i="5" s="1"/>
  <c r="O315" i="32"/>
  <c r="I46" i="5"/>
  <c r="I56" i="5"/>
  <c r="O89" i="32"/>
  <c r="O174" i="32"/>
  <c r="I236" i="5"/>
  <c r="O111" i="32"/>
  <c r="I78" i="5"/>
  <c r="O108" i="32"/>
  <c r="I75" i="5"/>
  <c r="I27" i="5"/>
  <c r="AA27" i="5" s="1"/>
  <c r="O296" i="32"/>
  <c r="O121" i="32"/>
  <c r="I3" i="5"/>
  <c r="I248" i="5"/>
  <c r="AA248" i="5" s="1"/>
  <c r="O186" i="32"/>
  <c r="O68" i="32"/>
  <c r="I215" i="5"/>
  <c r="O133" i="32"/>
  <c r="I15" i="5"/>
  <c r="I33" i="5"/>
  <c r="O302" i="32"/>
  <c r="O283" i="32"/>
  <c r="I317" i="5"/>
  <c r="AA317" i="5" s="1"/>
  <c r="I127" i="5"/>
  <c r="O248" i="32"/>
  <c r="I314" i="5"/>
  <c r="O280" i="32"/>
  <c r="I36" i="5"/>
  <c r="O305" i="32"/>
  <c r="I189" i="5"/>
  <c r="O210" i="32"/>
  <c r="I318" i="5"/>
  <c r="O284" i="32"/>
  <c r="F99" i="29" l="1"/>
  <c r="H99" i="29" s="1"/>
  <c r="AA215" i="5"/>
  <c r="F61" i="29"/>
  <c r="H61" i="29" s="1"/>
  <c r="F143" i="29"/>
  <c r="H143" i="29" s="1"/>
  <c r="AA3" i="5"/>
  <c r="AA75" i="5"/>
  <c r="F236" i="29"/>
  <c r="H236" i="29" s="1"/>
  <c r="F207" i="29"/>
  <c r="H207" i="29" s="1"/>
  <c r="F276" i="29"/>
  <c r="H276" i="29" s="1"/>
  <c r="F279" i="29"/>
  <c r="H279" i="29" s="1"/>
  <c r="AA236" i="5"/>
  <c r="L41" i="5"/>
  <c r="F286" i="29"/>
  <c r="H286" i="29" s="1"/>
  <c r="AA46" i="5"/>
  <c r="F539" i="29"/>
  <c r="H539" i="29" s="1"/>
  <c r="F538" i="29"/>
  <c r="H538" i="29" s="1"/>
  <c r="AA273" i="5"/>
  <c r="F466" i="29"/>
  <c r="H466" i="29" s="1"/>
  <c r="F465" i="29"/>
  <c r="H465" i="29" s="1"/>
  <c r="F231" i="29"/>
  <c r="H231" i="29" s="1"/>
  <c r="M15" i="5"/>
  <c r="AA70" i="5"/>
  <c r="AA253" i="5"/>
  <c r="N43" i="5"/>
  <c r="F515" i="29"/>
  <c r="H515" i="29" s="1"/>
  <c r="AA31" i="5"/>
  <c r="AA144" i="5"/>
  <c r="F31" i="29"/>
  <c r="H31" i="29" s="1"/>
  <c r="AA198" i="5"/>
  <c r="F425" i="29"/>
  <c r="H425" i="29" s="1"/>
  <c r="F433" i="29"/>
  <c r="H433" i="29" s="1"/>
  <c r="F424" i="29"/>
  <c r="H424" i="29" s="1"/>
  <c r="F362" i="29"/>
  <c r="H362" i="29" s="1"/>
  <c r="F353" i="29"/>
  <c r="H353" i="29" s="1"/>
  <c r="F290" i="29"/>
  <c r="H290" i="29" s="1"/>
  <c r="F333" i="29"/>
  <c r="H333" i="29" s="1"/>
  <c r="F358" i="29"/>
  <c r="H358" i="29" s="1"/>
  <c r="F340" i="29"/>
  <c r="H340" i="29" s="1"/>
  <c r="F344" i="29"/>
  <c r="H344" i="29" s="1"/>
  <c r="F221" i="29"/>
  <c r="H221" i="29" s="1"/>
  <c r="AA243" i="5"/>
  <c r="F348" i="29"/>
  <c r="H348" i="29" s="1"/>
  <c r="F226" i="29"/>
  <c r="H226" i="29" s="1"/>
  <c r="F230" i="29"/>
  <c r="H230" i="29" s="1"/>
  <c r="AA69" i="5"/>
  <c r="AA244" i="5"/>
  <c r="F327" i="29"/>
  <c r="H327" i="29" s="1"/>
  <c r="F205" i="29"/>
  <c r="H205" i="29" s="1"/>
  <c r="F416" i="29"/>
  <c r="H416" i="29" s="1"/>
  <c r="F215" i="29"/>
  <c r="H215" i="29" s="1"/>
  <c r="F426" i="29"/>
  <c r="H426" i="29" s="1"/>
  <c r="F203" i="29"/>
  <c r="H203" i="29" s="1"/>
  <c r="F218" i="29"/>
  <c r="H218" i="29" s="1"/>
  <c r="AA280" i="5"/>
  <c r="F462" i="29"/>
  <c r="H462" i="29" s="1"/>
  <c r="AA73" i="5"/>
  <c r="F13" i="29"/>
  <c r="H13" i="29" s="1"/>
  <c r="F126" i="29"/>
  <c r="H126" i="29" s="1"/>
  <c r="F41" i="29"/>
  <c r="H41" i="29" s="1"/>
  <c r="AA118" i="5"/>
  <c r="F132" i="29"/>
  <c r="H132" i="29" s="1"/>
  <c r="AA126" i="5"/>
  <c r="AA310" i="5"/>
  <c r="F269" i="29"/>
  <c r="H269" i="29" s="1"/>
  <c r="F134" i="29"/>
  <c r="H134" i="29" s="1"/>
  <c r="AA128" i="5"/>
  <c r="F520" i="29"/>
  <c r="H520" i="29" s="1"/>
  <c r="AA38" i="5"/>
  <c r="F521" i="29"/>
  <c r="H521" i="29" s="1"/>
  <c r="N9" i="5"/>
  <c r="F309" i="29"/>
  <c r="H309" i="29" s="1"/>
  <c r="F166" i="29"/>
  <c r="H166" i="29" s="1"/>
  <c r="F307" i="29"/>
  <c r="H307" i="29" s="1"/>
  <c r="F216" i="29"/>
  <c r="H216" i="29" s="1"/>
  <c r="AA29" i="5"/>
  <c r="F219" i="29"/>
  <c r="H219" i="29" s="1"/>
  <c r="F261" i="29"/>
  <c r="H261" i="29" s="1"/>
  <c r="AA209" i="5"/>
  <c r="AA11" i="5"/>
  <c r="F296" i="29"/>
  <c r="H296" i="29" s="1"/>
  <c r="F300" i="29"/>
  <c r="H300" i="29" s="1"/>
  <c r="F159" i="29"/>
  <c r="H159" i="29" s="1"/>
  <c r="F281" i="29"/>
  <c r="H281" i="29" s="1"/>
  <c r="F152" i="29"/>
  <c r="H152" i="29" s="1"/>
  <c r="AA210" i="5"/>
  <c r="F260" i="29"/>
  <c r="H260" i="29" s="1"/>
  <c r="AA313" i="5"/>
  <c r="N52" i="5"/>
  <c r="F272" i="29"/>
  <c r="H272" i="29" s="1"/>
  <c r="AA175" i="5"/>
  <c r="M30" i="5"/>
  <c r="AA228" i="5"/>
  <c r="F109" i="29"/>
  <c r="H109" i="29" s="1"/>
  <c r="F65" i="29"/>
  <c r="H65" i="29" s="1"/>
  <c r="F116" i="29"/>
  <c r="H116" i="29" s="1"/>
  <c r="F173" i="29"/>
  <c r="H173" i="29" s="1"/>
  <c r="AA304" i="5"/>
  <c r="AA274" i="5"/>
  <c r="F467" i="29"/>
  <c r="H467" i="29" s="1"/>
  <c r="F468" i="29"/>
  <c r="H468" i="29" s="1"/>
  <c r="AA116" i="5"/>
  <c r="M23" i="5"/>
  <c r="F40" i="29"/>
  <c r="H40" i="29" s="1"/>
  <c r="F12" i="29"/>
  <c r="H12" i="29" s="1"/>
  <c r="F124" i="29"/>
  <c r="H124" i="29" s="1"/>
  <c r="F50" i="29"/>
  <c r="H50" i="29" s="1"/>
  <c r="AA155" i="5"/>
  <c r="F29" i="29"/>
  <c r="H29" i="29" s="1"/>
  <c r="F125" i="29"/>
  <c r="H125" i="29" s="1"/>
  <c r="F24" i="29"/>
  <c r="H24" i="29" s="1"/>
  <c r="AA117" i="5"/>
  <c r="F228" i="29"/>
  <c r="H228" i="29" s="1"/>
  <c r="F232" i="29"/>
  <c r="H232" i="29" s="1"/>
  <c r="N15" i="5"/>
  <c r="AA71" i="5"/>
  <c r="F237" i="29"/>
  <c r="H237" i="29" s="1"/>
  <c r="AA76" i="5"/>
  <c r="F208" i="29"/>
  <c r="H208" i="29" s="1"/>
  <c r="M16" i="5"/>
  <c r="F223" i="29"/>
  <c r="H223" i="29" s="1"/>
  <c r="F552" i="29"/>
  <c r="H552" i="29" s="1"/>
  <c r="F553" i="29"/>
  <c r="H553" i="29" s="1"/>
  <c r="AA173" i="5"/>
  <c r="L10" i="5"/>
  <c r="F525" i="29"/>
  <c r="H525" i="29" s="1"/>
  <c r="AA40" i="5"/>
  <c r="F524" i="29"/>
  <c r="H524" i="29" s="1"/>
  <c r="F5" i="29"/>
  <c r="H5" i="29" s="1"/>
  <c r="AA60" i="5"/>
  <c r="F43" i="29"/>
  <c r="H43" i="29" s="1"/>
  <c r="F9" i="29"/>
  <c r="H9" i="29" s="1"/>
  <c r="AA58" i="5"/>
  <c r="F39" i="29"/>
  <c r="H39" i="29" s="1"/>
  <c r="F19" i="29"/>
  <c r="H19" i="29" s="1"/>
  <c r="F175" i="29"/>
  <c r="H175" i="29" s="1"/>
  <c r="AA306" i="5"/>
  <c r="F206" i="29"/>
  <c r="H206" i="29" s="1"/>
  <c r="L16" i="5"/>
  <c r="F235" i="29"/>
  <c r="H235" i="29" s="1"/>
  <c r="AA74" i="5"/>
  <c r="F531" i="29"/>
  <c r="H531" i="29" s="1"/>
  <c r="F532" i="29"/>
  <c r="H532" i="29" s="1"/>
  <c r="F533" i="29"/>
  <c r="H533" i="29" s="1"/>
  <c r="AA43" i="5"/>
  <c r="AA286" i="5"/>
  <c r="F421" i="29"/>
  <c r="H421" i="29" s="1"/>
  <c r="F368" i="29"/>
  <c r="H368" i="29" s="1"/>
  <c r="F74" i="29"/>
  <c r="H74" i="29" s="1"/>
  <c r="N47" i="5"/>
  <c r="AA39" i="5"/>
  <c r="F522" i="29"/>
  <c r="H522" i="29" s="1"/>
  <c r="F523" i="29"/>
  <c r="H523" i="29" s="1"/>
  <c r="AA130" i="5"/>
  <c r="F121" i="29"/>
  <c r="H121" i="29" s="1"/>
  <c r="N24" i="5"/>
  <c r="F176" i="29"/>
  <c r="H176" i="29" s="1"/>
  <c r="AA307" i="5"/>
  <c r="N51" i="5"/>
  <c r="M44" i="5"/>
  <c r="AA258" i="5"/>
  <c r="F291" i="29"/>
  <c r="H291" i="29" s="1"/>
  <c r="AA221" i="5"/>
  <c r="F110" i="29"/>
  <c r="H110" i="29" s="1"/>
  <c r="F62" i="29"/>
  <c r="H62" i="29" s="1"/>
  <c r="L15" i="5"/>
  <c r="F229" i="29"/>
  <c r="H229" i="29" s="1"/>
  <c r="AA68" i="5"/>
  <c r="F225" i="29"/>
  <c r="H225" i="29" s="1"/>
  <c r="F517" i="29"/>
  <c r="H517" i="29" s="1"/>
  <c r="AA34" i="5"/>
  <c r="M8" i="5"/>
  <c r="F516" i="29"/>
  <c r="H516" i="29" s="1"/>
  <c r="AA311" i="5"/>
  <c r="M52" i="5"/>
  <c r="F270" i="29"/>
  <c r="H270" i="29" s="1"/>
  <c r="F382" i="29"/>
  <c r="H382" i="29" s="1"/>
  <c r="AA182" i="5"/>
  <c r="L32" i="5"/>
  <c r="F494" i="29"/>
  <c r="H494" i="29" s="1"/>
  <c r="F390" i="29"/>
  <c r="H390" i="29" s="1"/>
  <c r="F495" i="29"/>
  <c r="H495" i="29" s="1"/>
  <c r="F493" i="29"/>
  <c r="H493" i="29" s="1"/>
  <c r="F58" i="29"/>
  <c r="H58" i="29" s="1"/>
  <c r="F183" i="29"/>
  <c r="H183" i="29" s="1"/>
  <c r="F195" i="29"/>
  <c r="H195" i="29" s="1"/>
  <c r="AA302" i="5"/>
  <c r="F201" i="29"/>
  <c r="H201" i="29" s="1"/>
  <c r="F189" i="29"/>
  <c r="H189" i="29" s="1"/>
  <c r="F376" i="29"/>
  <c r="H376" i="29" s="1"/>
  <c r="AA186" i="5"/>
  <c r="F336" i="29"/>
  <c r="H336" i="29" s="1"/>
  <c r="F365" i="29"/>
  <c r="H365" i="29" s="1"/>
  <c r="N42" i="5"/>
  <c r="AA246" i="5"/>
  <c r="F268" i="29"/>
  <c r="H268" i="29" s="1"/>
  <c r="AA309" i="5"/>
  <c r="L52" i="5"/>
  <c r="F101" i="29"/>
  <c r="H101" i="29" s="1"/>
  <c r="M37" i="5"/>
  <c r="AA216" i="5"/>
  <c r="F69" i="29"/>
  <c r="H69" i="29" s="1"/>
  <c r="F367" i="29"/>
  <c r="H367" i="29" s="1"/>
  <c r="F418" i="29"/>
  <c r="H418" i="29" s="1"/>
  <c r="AA279" i="5"/>
  <c r="AA160" i="5"/>
  <c r="F59" i="29"/>
  <c r="H59" i="29" s="1"/>
  <c r="AA199" i="5"/>
  <c r="F383" i="29"/>
  <c r="H383" i="29" s="1"/>
  <c r="F171" i="29"/>
  <c r="H171" i="29" s="1"/>
  <c r="L51" i="5"/>
  <c r="AA303" i="5"/>
  <c r="F146" i="29"/>
  <c r="H146" i="29" s="1"/>
  <c r="F168" i="29"/>
  <c r="H168" i="29" s="1"/>
  <c r="AA6" i="5"/>
  <c r="F52" i="29"/>
  <c r="H52" i="29" s="1"/>
  <c r="AA233" i="5"/>
  <c r="N39" i="5"/>
  <c r="F63" i="29"/>
  <c r="H63" i="29" s="1"/>
  <c r="N53" i="5"/>
  <c r="AA318" i="5"/>
  <c r="M9" i="5"/>
  <c r="F349" i="29"/>
  <c r="H349" i="29" s="1"/>
  <c r="AA36" i="5"/>
  <c r="AA127" i="5"/>
  <c r="F133" i="29"/>
  <c r="H133" i="29" s="1"/>
  <c r="F167" i="29"/>
  <c r="H167" i="29" s="1"/>
  <c r="L8" i="5"/>
  <c r="F308" i="29"/>
  <c r="H308" i="29" s="1"/>
  <c r="AA33" i="5"/>
  <c r="F310" i="29"/>
  <c r="H310" i="29" s="1"/>
  <c r="F56" i="29"/>
  <c r="H56" i="29" s="1"/>
  <c r="F271" i="29"/>
  <c r="H271" i="29" s="1"/>
  <c r="AA312" i="5"/>
  <c r="F249" i="29"/>
  <c r="H249" i="29" s="1"/>
  <c r="F399" i="29"/>
  <c r="H399" i="29" s="1"/>
  <c r="F386" i="29"/>
  <c r="H386" i="29" s="1"/>
  <c r="F438" i="29"/>
  <c r="H438" i="29" s="1"/>
  <c r="F385" i="29"/>
  <c r="H385" i="29" s="1"/>
  <c r="F392" i="29"/>
  <c r="H392" i="29" s="1"/>
  <c r="F398" i="29"/>
  <c r="H398" i="29" s="1"/>
  <c r="F248" i="29"/>
  <c r="H248" i="29" s="1"/>
  <c r="F394" i="29"/>
  <c r="H394" i="29" s="1"/>
  <c r="AA275" i="5"/>
  <c r="F526" i="29"/>
  <c r="H526" i="29" s="1"/>
  <c r="AA41" i="5"/>
  <c r="F527" i="29"/>
  <c r="H527" i="29" s="1"/>
  <c r="F105" i="29"/>
  <c r="H105" i="29" s="1"/>
  <c r="M39" i="5"/>
  <c r="AA229" i="5"/>
  <c r="F412" i="29"/>
  <c r="H412" i="29" s="1"/>
  <c r="AA183" i="5"/>
  <c r="F373" i="29"/>
  <c r="H373" i="29" s="1"/>
  <c r="M32" i="5"/>
  <c r="N28" i="5"/>
  <c r="AA158" i="5"/>
  <c r="F442" i="29"/>
  <c r="H442" i="29" s="1"/>
  <c r="N38" i="5"/>
  <c r="F441" i="29"/>
  <c r="H441" i="29" s="1"/>
  <c r="AA226" i="5"/>
  <c r="F388" i="29"/>
  <c r="H388" i="29" s="1"/>
  <c r="F439" i="29"/>
  <c r="H439" i="29" s="1"/>
  <c r="F440" i="29"/>
  <c r="H440" i="29" s="1"/>
  <c r="AA200" i="5"/>
  <c r="F396" i="29"/>
  <c r="H396" i="29" s="1"/>
  <c r="M34" i="5"/>
  <c r="F393" i="29"/>
  <c r="H393" i="29" s="1"/>
  <c r="F408" i="29"/>
  <c r="H408" i="29" s="1"/>
  <c r="F434" i="29"/>
  <c r="H434" i="29" s="1"/>
  <c r="F485" i="29"/>
  <c r="H485" i="29" s="1"/>
  <c r="F486" i="29"/>
  <c r="H486" i="29" s="1"/>
  <c r="AA288" i="5"/>
  <c r="AA170" i="5"/>
  <c r="F140" i="29"/>
  <c r="H140" i="29" s="1"/>
  <c r="N29" i="5"/>
  <c r="F265" i="29"/>
  <c r="H265" i="29" s="1"/>
  <c r="F254" i="29"/>
  <c r="H254" i="29" s="1"/>
  <c r="M13" i="5"/>
  <c r="F38" i="29"/>
  <c r="H38" i="29" s="1"/>
  <c r="F18" i="29"/>
  <c r="H18" i="29" s="1"/>
  <c r="F3" i="29"/>
  <c r="H3" i="29" s="1"/>
  <c r="F7" i="29"/>
  <c r="H7" i="29" s="1"/>
  <c r="AA57" i="5"/>
  <c r="L27" i="5"/>
  <c r="AA142" i="5"/>
  <c r="AA289" i="5"/>
  <c r="F423" i="29"/>
  <c r="H423" i="29" s="1"/>
  <c r="F220" i="29"/>
  <c r="H220" i="29" s="1"/>
  <c r="F430" i="29"/>
  <c r="H430" i="29" s="1"/>
  <c r="F352" i="29"/>
  <c r="H352" i="29" s="1"/>
  <c r="F357" i="29"/>
  <c r="H357" i="29" s="1"/>
  <c r="F347" i="29"/>
  <c r="H347" i="29" s="1"/>
  <c r="F332" i="29"/>
  <c r="H332" i="29" s="1"/>
  <c r="AA241" i="5"/>
  <c r="F343" i="29"/>
  <c r="H343" i="29" s="1"/>
  <c r="F339" i="29"/>
  <c r="H339" i="29" s="1"/>
  <c r="F361" i="29"/>
  <c r="H361" i="29" s="1"/>
  <c r="F470" i="29"/>
  <c r="H470" i="29" s="1"/>
  <c r="F472" i="29"/>
  <c r="H472" i="29" s="1"/>
  <c r="F471" i="29"/>
  <c r="H471" i="29" s="1"/>
  <c r="F473" i="29"/>
  <c r="H473" i="29" s="1"/>
  <c r="AA276" i="5"/>
  <c r="F469" i="29"/>
  <c r="H469" i="29" s="1"/>
  <c r="F454" i="29"/>
  <c r="H454" i="29" s="1"/>
  <c r="F456" i="29"/>
  <c r="H456" i="29" s="1"/>
  <c r="F455" i="29"/>
  <c r="H455" i="29" s="1"/>
  <c r="N14" i="5"/>
  <c r="F453" i="29"/>
  <c r="H453" i="29" s="1"/>
  <c r="AA65" i="5"/>
  <c r="F255" i="29"/>
  <c r="H255" i="29" s="1"/>
  <c r="F374" i="29"/>
  <c r="H374" i="29" s="1"/>
  <c r="AA207" i="5"/>
  <c r="M35" i="5"/>
  <c r="N44" i="5"/>
  <c r="F293" i="29"/>
  <c r="H293" i="29" s="1"/>
  <c r="AA262" i="5"/>
  <c r="F151" i="29"/>
  <c r="H151" i="29" s="1"/>
  <c r="AA10" i="5"/>
  <c r="F158" i="29"/>
  <c r="H158" i="29" s="1"/>
  <c r="F299" i="29"/>
  <c r="H299" i="29" s="1"/>
  <c r="F295" i="29"/>
  <c r="H295" i="29" s="1"/>
  <c r="F241" i="29"/>
  <c r="H241" i="29" s="1"/>
  <c r="F278" i="29"/>
  <c r="H278" i="29" s="1"/>
  <c r="AA79" i="5"/>
  <c r="F212" i="29"/>
  <c r="H212" i="29" s="1"/>
  <c r="F451" i="29"/>
  <c r="H451" i="29" s="1"/>
  <c r="F452" i="29"/>
  <c r="H452" i="29" s="1"/>
  <c r="AA64" i="5"/>
  <c r="F450" i="29"/>
  <c r="H450" i="29" s="1"/>
  <c r="F227" i="29"/>
  <c r="H227" i="29" s="1"/>
  <c r="F288" i="29"/>
  <c r="H288" i="29" s="1"/>
  <c r="AA237" i="5"/>
  <c r="M41" i="5"/>
  <c r="F188" i="29"/>
  <c r="H188" i="29" s="1"/>
  <c r="N50" i="5"/>
  <c r="F194" i="29"/>
  <c r="H194" i="29" s="1"/>
  <c r="F200" i="29"/>
  <c r="H200" i="29" s="1"/>
  <c r="F182" i="29"/>
  <c r="H182" i="29" s="1"/>
  <c r="AA301" i="5"/>
  <c r="F57" i="29"/>
  <c r="H57" i="29" s="1"/>
  <c r="F88" i="29"/>
  <c r="H88" i="29" s="1"/>
  <c r="AA270" i="5"/>
  <c r="F32" i="29"/>
  <c r="H32" i="29" s="1"/>
  <c r="F14" i="29"/>
  <c r="H14" i="29" s="1"/>
  <c r="F45" i="29"/>
  <c r="H45" i="29" s="1"/>
  <c r="F26" i="29"/>
  <c r="H26" i="29" s="1"/>
  <c r="AA120" i="5"/>
  <c r="F128" i="29"/>
  <c r="H128" i="29" s="1"/>
  <c r="N23" i="5"/>
  <c r="F37" i="29"/>
  <c r="H37" i="29" s="1"/>
  <c r="L23" i="5"/>
  <c r="AA114" i="5"/>
  <c r="F11" i="29"/>
  <c r="H11" i="29" s="1"/>
  <c r="F122" i="29"/>
  <c r="H122" i="29" s="1"/>
  <c r="F306" i="29"/>
  <c r="H306" i="29" s="1"/>
  <c r="AA26" i="5"/>
  <c r="F165" i="29"/>
  <c r="H165" i="29" s="1"/>
  <c r="AA230" i="5"/>
  <c r="F106" i="29"/>
  <c r="H106" i="29" s="1"/>
  <c r="AA17" i="5"/>
  <c r="M5" i="5"/>
  <c r="AA62" i="5"/>
  <c r="F36" i="29"/>
  <c r="H36" i="29" s="1"/>
  <c r="F17" i="29"/>
  <c r="H17" i="29" s="1"/>
  <c r="L14" i="5"/>
  <c r="AA197" i="5"/>
  <c r="L34" i="5"/>
  <c r="F389" i="29"/>
  <c r="H389" i="29" s="1"/>
  <c r="F484" i="29"/>
  <c r="H484" i="29" s="1"/>
  <c r="F482" i="29"/>
  <c r="H482" i="29" s="1"/>
  <c r="F481" i="29"/>
  <c r="H481" i="29" s="1"/>
  <c r="F483" i="29"/>
  <c r="H483" i="29" s="1"/>
  <c r="AA285" i="5"/>
  <c r="AA135" i="5"/>
  <c r="M25" i="5"/>
  <c r="M51" i="5"/>
  <c r="F174" i="29"/>
  <c r="H174" i="29" s="1"/>
  <c r="AA305" i="5"/>
  <c r="F135" i="29"/>
  <c r="H135" i="29" s="1"/>
  <c r="AA129" i="5"/>
  <c r="AA283" i="5"/>
  <c r="F427" i="29"/>
  <c r="H427" i="29" s="1"/>
  <c r="F70" i="29"/>
  <c r="H70" i="29" s="1"/>
  <c r="F419" i="29"/>
  <c r="H419" i="29" s="1"/>
  <c r="L46" i="5"/>
  <c r="AA265" i="5"/>
  <c r="F81" i="29"/>
  <c r="H81" i="29" s="1"/>
  <c r="F76" i="29"/>
  <c r="H76" i="29" s="1"/>
  <c r="F117" i="29"/>
  <c r="H117" i="29" s="1"/>
  <c r="F115" i="29"/>
  <c r="H115" i="29" s="1"/>
  <c r="F64" i="29"/>
  <c r="H64" i="29" s="1"/>
  <c r="F15" i="29"/>
  <c r="H15" i="29" s="1"/>
  <c r="F27" i="29"/>
  <c r="H27" i="29" s="1"/>
  <c r="F377" i="29"/>
  <c r="H377" i="29" s="1"/>
  <c r="F370" i="29"/>
  <c r="H370" i="29" s="1"/>
  <c r="F107" i="29"/>
  <c r="H107" i="29" s="1"/>
  <c r="F95" i="29"/>
  <c r="H95" i="29" s="1"/>
  <c r="F71" i="29"/>
  <c r="H71" i="29" s="1"/>
  <c r="F90" i="29"/>
  <c r="H90" i="29" s="1"/>
  <c r="AA225" i="5"/>
  <c r="F262" i="29"/>
  <c r="H262" i="29" s="1"/>
  <c r="F34" i="29"/>
  <c r="H34" i="29" s="1"/>
  <c r="F33" i="29"/>
  <c r="H33" i="29" s="1"/>
  <c r="F148" i="29"/>
  <c r="H148" i="29" s="1"/>
  <c r="F44" i="29"/>
  <c r="H44" i="29" s="1"/>
  <c r="F89" i="29"/>
  <c r="H89" i="29" s="1"/>
  <c r="F51" i="29"/>
  <c r="H51" i="29" s="1"/>
  <c r="N30" i="5"/>
  <c r="AA179" i="5"/>
  <c r="F547" i="29"/>
  <c r="H547" i="29" s="1"/>
  <c r="F549" i="29"/>
  <c r="H549" i="29" s="1"/>
  <c r="F548" i="29"/>
  <c r="H548" i="29" s="1"/>
  <c r="F546" i="29"/>
  <c r="H546" i="29" s="1"/>
  <c r="AA166" i="5"/>
  <c r="F501" i="29"/>
  <c r="H501" i="29" s="1"/>
  <c r="F504" i="29"/>
  <c r="H504" i="29" s="1"/>
  <c r="F502" i="29"/>
  <c r="H502" i="29" s="1"/>
  <c r="F500" i="29"/>
  <c r="H500" i="29" s="1"/>
  <c r="F503" i="29"/>
  <c r="H503" i="29" s="1"/>
  <c r="AA201" i="5"/>
  <c r="AA21" i="5"/>
  <c r="F297" i="29"/>
  <c r="H297" i="29" s="1"/>
  <c r="N5" i="5"/>
  <c r="F98" i="29"/>
  <c r="H98" i="29" s="1"/>
  <c r="F60" i="29"/>
  <c r="H60" i="29" s="1"/>
  <c r="F103" i="29"/>
  <c r="H103" i="29" s="1"/>
  <c r="L37" i="5"/>
  <c r="AA214" i="5"/>
  <c r="F444" i="29"/>
  <c r="H444" i="29" s="1"/>
  <c r="F445" i="29"/>
  <c r="H445" i="29" s="1"/>
  <c r="AA61" i="5"/>
  <c r="AA133" i="5"/>
  <c r="F354" i="29"/>
  <c r="H354" i="29" s="1"/>
  <c r="F359" i="29"/>
  <c r="H359" i="29" s="1"/>
  <c r="F137" i="29"/>
  <c r="H137" i="29" s="1"/>
  <c r="M27" i="5"/>
  <c r="AA143" i="5"/>
  <c r="N46" i="5"/>
  <c r="AA272" i="5"/>
  <c r="F405" i="29"/>
  <c r="H405" i="29" s="1"/>
  <c r="AA195" i="5"/>
  <c r="F321" i="29"/>
  <c r="H321" i="29" s="1"/>
  <c r="F328" i="29"/>
  <c r="H328" i="29" s="1"/>
  <c r="N33" i="5"/>
  <c r="F415" i="29"/>
  <c r="H415" i="29" s="1"/>
  <c r="F67" i="29"/>
  <c r="H67" i="29" s="1"/>
  <c r="AA278" i="5"/>
  <c r="F79" i="29"/>
  <c r="H79" i="29" s="1"/>
  <c r="F131" i="29"/>
  <c r="H131" i="29" s="1"/>
  <c r="AA125" i="5"/>
  <c r="F196" i="29"/>
  <c r="H196" i="29" s="1"/>
  <c r="F371" i="29"/>
  <c r="H371" i="29" s="1"/>
  <c r="F190" i="29"/>
  <c r="H190" i="29" s="1"/>
  <c r="F178" i="29"/>
  <c r="H178" i="29" s="1"/>
  <c r="AA297" i="5"/>
  <c r="F20" i="29"/>
  <c r="H20" i="29" s="1"/>
  <c r="F184" i="29"/>
  <c r="H184" i="29" s="1"/>
  <c r="F53" i="29"/>
  <c r="H53" i="29" s="1"/>
  <c r="L50" i="5"/>
  <c r="F147" i="29"/>
  <c r="H147" i="29" s="1"/>
  <c r="AA7" i="5"/>
  <c r="F155" i="29"/>
  <c r="H155" i="29" s="1"/>
  <c r="AA14" i="5"/>
  <c r="F303" i="29"/>
  <c r="H303" i="29" s="1"/>
  <c r="F162" i="29"/>
  <c r="H162" i="29" s="1"/>
  <c r="F284" i="29"/>
  <c r="H284" i="29" s="1"/>
  <c r="AA15" i="5"/>
  <c r="F304" i="29"/>
  <c r="H304" i="29" s="1"/>
  <c r="F163" i="29"/>
  <c r="H163" i="29" s="1"/>
  <c r="N4" i="5"/>
  <c r="F285" i="29"/>
  <c r="H285" i="29" s="1"/>
  <c r="F156" i="29"/>
  <c r="H156" i="29" s="1"/>
  <c r="AA78" i="5"/>
  <c r="N16" i="5"/>
  <c r="F240" i="29"/>
  <c r="H240" i="29" s="1"/>
  <c r="F224" i="29"/>
  <c r="H224" i="29" s="1"/>
  <c r="N32" i="5"/>
  <c r="F402" i="29"/>
  <c r="H402" i="29" s="1"/>
  <c r="F316" i="29"/>
  <c r="H316" i="29" s="1"/>
  <c r="AA185" i="5"/>
  <c r="F312" i="29"/>
  <c r="H312" i="29" s="1"/>
  <c r="F366" i="29"/>
  <c r="H366" i="29" s="1"/>
  <c r="F337" i="29"/>
  <c r="H337" i="29" s="1"/>
  <c r="F222" i="29"/>
  <c r="H222" i="29" s="1"/>
  <c r="F341" i="29"/>
  <c r="H341" i="29" s="1"/>
  <c r="F350" i="29"/>
  <c r="H350" i="29" s="1"/>
  <c r="AA247" i="5"/>
  <c r="F345" i="29"/>
  <c r="H345" i="29" s="1"/>
  <c r="F497" i="29"/>
  <c r="H497" i="29" s="1"/>
  <c r="AA194" i="5"/>
  <c r="F498" i="29"/>
  <c r="H498" i="29" s="1"/>
  <c r="F499" i="29"/>
  <c r="H499" i="29" s="1"/>
  <c r="F496" i="29"/>
  <c r="H496" i="29" s="1"/>
  <c r="AA53" i="5"/>
  <c r="F542" i="29"/>
  <c r="H542" i="29" s="1"/>
  <c r="N11" i="5"/>
  <c r="AA315" i="5"/>
  <c r="F172" i="29"/>
  <c r="H172" i="29" s="1"/>
  <c r="L53" i="5"/>
  <c r="AA239" i="5"/>
  <c r="N41" i="5"/>
  <c r="F292" i="29"/>
  <c r="H292" i="29" s="1"/>
  <c r="AA47" i="5"/>
  <c r="F540" i="29"/>
  <c r="H540" i="29" s="1"/>
  <c r="F305" i="29"/>
  <c r="H305" i="29" s="1"/>
  <c r="AA16" i="5"/>
  <c r="AA290" i="5"/>
  <c r="F274" i="29"/>
  <c r="H274" i="29" s="1"/>
  <c r="M48" i="5"/>
  <c r="F510" i="29"/>
  <c r="H510" i="29" s="1"/>
  <c r="AA132" i="5"/>
  <c r="F508" i="29"/>
  <c r="H508" i="29" s="1"/>
  <c r="F509" i="29"/>
  <c r="H509" i="29" s="1"/>
  <c r="AA119" i="5"/>
  <c r="F127" i="29"/>
  <c r="H127" i="29" s="1"/>
  <c r="F25" i="29"/>
  <c r="H25" i="29" s="1"/>
  <c r="F30" i="29"/>
  <c r="H30" i="29" s="1"/>
  <c r="N7" i="5"/>
  <c r="AA30" i="5"/>
  <c r="AA227" i="5"/>
  <c r="F108" i="29"/>
  <c r="H108" i="29" s="1"/>
  <c r="F490" i="29"/>
  <c r="H490" i="29" s="1"/>
  <c r="F491" i="29"/>
  <c r="H491" i="29" s="1"/>
  <c r="F492" i="29"/>
  <c r="H492" i="29" s="1"/>
  <c r="F489" i="29"/>
  <c r="H489" i="29" s="1"/>
  <c r="AA249" i="5"/>
  <c r="F487" i="29"/>
  <c r="H487" i="29" s="1"/>
  <c r="F488" i="29"/>
  <c r="H488" i="29" s="1"/>
  <c r="AA287" i="5"/>
  <c r="F369" i="29"/>
  <c r="H369" i="29" s="1"/>
  <c r="F422" i="29"/>
  <c r="H422" i="29" s="1"/>
  <c r="F75" i="29"/>
  <c r="H75" i="29" s="1"/>
  <c r="F170" i="29"/>
  <c r="H170" i="29" s="1"/>
  <c r="N3" i="5"/>
  <c r="F149" i="29"/>
  <c r="H149" i="29" s="1"/>
  <c r="AA8" i="5"/>
  <c r="N48" i="5"/>
  <c r="AA294" i="5"/>
  <c r="F275" i="29"/>
  <c r="H275" i="29" s="1"/>
  <c r="AA44" i="5"/>
  <c r="F534" i="29"/>
  <c r="H534" i="29" s="1"/>
  <c r="F535" i="29"/>
  <c r="H535" i="29" s="1"/>
  <c r="M11" i="5"/>
  <c r="AA49" i="5"/>
  <c r="AA242" i="5"/>
  <c r="M42" i="5"/>
  <c r="F545" i="29"/>
  <c r="H545" i="29" s="1"/>
  <c r="AA163" i="5"/>
  <c r="F324" i="29"/>
  <c r="H324" i="29" s="1"/>
  <c r="F411" i="29"/>
  <c r="H411" i="29" s="1"/>
  <c r="AA188" i="5"/>
  <c r="L33" i="5"/>
  <c r="F431" i="29"/>
  <c r="H431" i="29" s="1"/>
  <c r="F387" i="29"/>
  <c r="H387" i="29" s="1"/>
  <c r="F437" i="29"/>
  <c r="H437" i="29" s="1"/>
  <c r="F314" i="29"/>
  <c r="H314" i="29" s="1"/>
  <c r="F432" i="29"/>
  <c r="H432" i="29" s="1"/>
  <c r="AA203" i="5"/>
  <c r="F435" i="29"/>
  <c r="H435" i="29" s="1"/>
  <c r="F409" i="29"/>
  <c r="H409" i="29" s="1"/>
  <c r="N34" i="5"/>
  <c r="AA162" i="5"/>
  <c r="F251" i="29"/>
  <c r="H251" i="29" s="1"/>
  <c r="L29" i="5"/>
  <c r="F48" i="29"/>
  <c r="H48" i="29" s="1"/>
  <c r="F198" i="29"/>
  <c r="H198" i="29" s="1"/>
  <c r="F180" i="29"/>
  <c r="H180" i="29" s="1"/>
  <c r="F186" i="29"/>
  <c r="H186" i="29" s="1"/>
  <c r="AA299" i="5"/>
  <c r="F55" i="29"/>
  <c r="H55" i="29" s="1"/>
  <c r="F192" i="29"/>
  <c r="H192" i="29" s="1"/>
  <c r="M50" i="5"/>
  <c r="F22" i="29"/>
  <c r="H22" i="29" s="1"/>
  <c r="M10" i="5"/>
  <c r="AA42" i="5"/>
  <c r="F529" i="29"/>
  <c r="H529" i="29" s="1"/>
  <c r="F528" i="29"/>
  <c r="H528" i="29" s="1"/>
  <c r="F530" i="29"/>
  <c r="H530" i="29" s="1"/>
  <c r="AA59" i="5"/>
  <c r="F8" i="29"/>
  <c r="H8" i="29" s="1"/>
  <c r="N13" i="5"/>
  <c r="F42" i="29"/>
  <c r="H42" i="29" s="1"/>
  <c r="F10" i="29"/>
  <c r="H10" i="29" s="1"/>
  <c r="F4" i="29"/>
  <c r="H4" i="29" s="1"/>
  <c r="F507" i="29"/>
  <c r="H507" i="29" s="1"/>
  <c r="AA131" i="5"/>
  <c r="AA324" i="5"/>
  <c r="N54" i="5"/>
  <c r="AA204" i="5"/>
  <c r="F410" i="29"/>
  <c r="H410" i="29" s="1"/>
  <c r="F395" i="29"/>
  <c r="H395" i="29" s="1"/>
  <c r="N27" i="5"/>
  <c r="F246" i="29"/>
  <c r="H246" i="29" s="1"/>
  <c r="AA149" i="5"/>
  <c r="M43" i="5"/>
  <c r="O43" i="5" s="1"/>
  <c r="AA250" i="5"/>
  <c r="AA266" i="5"/>
  <c r="F82" i="29"/>
  <c r="H82" i="29" s="1"/>
  <c r="F77" i="29"/>
  <c r="H77" i="29" s="1"/>
  <c r="M29" i="5"/>
  <c r="F252" i="29"/>
  <c r="H252" i="29" s="1"/>
  <c r="AA164" i="5"/>
  <c r="F420" i="29"/>
  <c r="H420" i="29" s="1"/>
  <c r="AA284" i="5"/>
  <c r="F543" i="29"/>
  <c r="H543" i="29" s="1"/>
  <c r="AA148" i="5"/>
  <c r="F120" i="29"/>
  <c r="H120" i="29" s="1"/>
  <c r="M24" i="5"/>
  <c r="AA123" i="5"/>
  <c r="N8" i="5"/>
  <c r="F518" i="29"/>
  <c r="H518" i="29" s="1"/>
  <c r="AA35" i="5"/>
  <c r="F519" i="29"/>
  <c r="H519" i="29" s="1"/>
  <c r="AA245" i="5"/>
  <c r="F363" i="29"/>
  <c r="H363" i="29" s="1"/>
  <c r="F334" i="29"/>
  <c r="H334" i="29" s="1"/>
  <c r="L24" i="5"/>
  <c r="F355" i="29"/>
  <c r="H355" i="29" s="1"/>
  <c r="F118" i="29"/>
  <c r="H118" i="29" s="1"/>
  <c r="AA121" i="5"/>
  <c r="AA235" i="5"/>
  <c r="F443" i="29"/>
  <c r="H443" i="29" s="1"/>
  <c r="F460" i="29"/>
  <c r="H460" i="29" s="1"/>
  <c r="F461" i="29"/>
  <c r="H461" i="29" s="1"/>
  <c r="AA67" i="5"/>
  <c r="F244" i="29"/>
  <c r="H244" i="29" s="1"/>
  <c r="F243" i="29"/>
  <c r="H243" i="29" s="1"/>
  <c r="F46" i="29"/>
  <c r="H46" i="29" s="1"/>
  <c r="AA165" i="5"/>
  <c r="F47" i="29"/>
  <c r="H47" i="29" s="1"/>
  <c r="F242" i="29"/>
  <c r="H242" i="29" s="1"/>
  <c r="F213" i="29"/>
  <c r="H213" i="29" s="1"/>
  <c r="N17" i="5"/>
  <c r="F463" i="29"/>
  <c r="H463" i="29" s="1"/>
  <c r="AA84" i="5"/>
  <c r="F544" i="29"/>
  <c r="H544" i="29" s="1"/>
  <c r="AA157" i="5"/>
  <c r="F177" i="29"/>
  <c r="H177" i="29" s="1"/>
  <c r="AA308" i="5"/>
  <c r="N35" i="5"/>
  <c r="F259" i="29"/>
  <c r="H259" i="29" s="1"/>
  <c r="AA211" i="5"/>
  <c r="F338" i="29"/>
  <c r="H338" i="29" s="1"/>
  <c r="F356" i="29"/>
  <c r="H356" i="29" s="1"/>
  <c r="L42" i="5"/>
  <c r="F351" i="29"/>
  <c r="H351" i="29" s="1"/>
  <c r="F311" i="29"/>
  <c r="H311" i="29" s="1"/>
  <c r="F346" i="29"/>
  <c r="H346" i="29" s="1"/>
  <c r="F287" i="29"/>
  <c r="H287" i="29" s="1"/>
  <c r="F360" i="29"/>
  <c r="H360" i="29" s="1"/>
  <c r="AA240" i="5"/>
  <c r="F331" i="29"/>
  <c r="H331" i="29" s="1"/>
  <c r="F342" i="29"/>
  <c r="H342" i="29" s="1"/>
  <c r="F457" i="29"/>
  <c r="H457" i="29" s="1"/>
  <c r="AA66" i="5"/>
  <c r="F458" i="29"/>
  <c r="H458" i="29" s="1"/>
  <c r="F459" i="29"/>
  <c r="H459" i="29" s="1"/>
  <c r="AA184" i="5"/>
  <c r="F401" i="29"/>
  <c r="H401" i="29" s="1"/>
  <c r="F413" i="29"/>
  <c r="H413" i="29" s="1"/>
  <c r="F315" i="29"/>
  <c r="H315" i="29" s="1"/>
  <c r="AA28" i="5"/>
  <c r="F514" i="29"/>
  <c r="H514" i="29" s="1"/>
  <c r="F513" i="29"/>
  <c r="H513" i="29" s="1"/>
  <c r="F318" i="29"/>
  <c r="H318" i="29" s="1"/>
  <c r="AA189" i="5"/>
  <c r="F273" i="29"/>
  <c r="H273" i="29" s="1"/>
  <c r="AA314" i="5"/>
  <c r="F16" i="29"/>
  <c r="H16" i="29" s="1"/>
  <c r="L13" i="5"/>
  <c r="F2" i="29"/>
  <c r="H2" i="29" s="1"/>
  <c r="F6" i="29"/>
  <c r="H6" i="29" s="1"/>
  <c r="F35" i="29"/>
  <c r="H35" i="29" s="1"/>
  <c r="AA56" i="5"/>
  <c r="F506" i="29"/>
  <c r="H506" i="29" s="1"/>
  <c r="AA206" i="5"/>
  <c r="F505" i="29"/>
  <c r="H505" i="29" s="1"/>
  <c r="M4" i="5"/>
  <c r="F164" i="29"/>
  <c r="H164" i="29" s="1"/>
  <c r="F301" i="29"/>
  <c r="H301" i="29" s="1"/>
  <c r="AA12" i="5"/>
  <c r="F160" i="29"/>
  <c r="H160" i="29" s="1"/>
  <c r="F153" i="29"/>
  <c r="H153" i="29" s="1"/>
  <c r="F282" i="29"/>
  <c r="H282" i="29" s="1"/>
  <c r="F477" i="29"/>
  <c r="H477" i="29" s="1"/>
  <c r="F414" i="29"/>
  <c r="H414" i="29" s="1"/>
  <c r="F400" i="29"/>
  <c r="H400" i="29" s="1"/>
  <c r="F250" i="29"/>
  <c r="H250" i="29" s="1"/>
  <c r="F475" i="29"/>
  <c r="H475" i="29" s="1"/>
  <c r="L47" i="5"/>
  <c r="AA277" i="5"/>
  <c r="F66" i="29"/>
  <c r="H66" i="29" s="1"/>
  <c r="F476" i="29"/>
  <c r="H476" i="29" s="1"/>
  <c r="F474" i="29"/>
  <c r="H474" i="29" s="1"/>
  <c r="F78" i="29"/>
  <c r="H78" i="29" s="1"/>
  <c r="F317" i="29"/>
  <c r="H317" i="29" s="1"/>
  <c r="F313" i="29"/>
  <c r="H313" i="29" s="1"/>
  <c r="AA196" i="5"/>
  <c r="AA77" i="5"/>
  <c r="F238" i="29"/>
  <c r="H238" i="29" s="1"/>
  <c r="F234" i="29"/>
  <c r="H234" i="29" s="1"/>
  <c r="F209" i="29"/>
  <c r="H209" i="29" s="1"/>
  <c r="F245" i="29"/>
  <c r="H245" i="29" s="1"/>
  <c r="AA271" i="5"/>
  <c r="F384" i="29"/>
  <c r="H384" i="29" s="1"/>
  <c r="F397" i="29"/>
  <c r="H397" i="29" s="1"/>
  <c r="F247" i="29"/>
  <c r="H247" i="29" s="1"/>
  <c r="F391" i="29"/>
  <c r="H391" i="29" s="1"/>
  <c r="AA72" i="5"/>
  <c r="F233" i="29"/>
  <c r="H233" i="29" s="1"/>
  <c r="M38" i="5"/>
  <c r="AA224" i="5"/>
  <c r="F100" i="29"/>
  <c r="H100" i="29" s="1"/>
  <c r="AA25" i="5"/>
  <c r="M7" i="5"/>
  <c r="F512" i="29"/>
  <c r="H512" i="29" s="1"/>
  <c r="M54" i="5"/>
  <c r="AA320" i="5"/>
  <c r="AA122" i="5"/>
  <c r="F129" i="29"/>
  <c r="H129" i="29" s="1"/>
  <c r="F119" i="29"/>
  <c r="H119" i="29" s="1"/>
  <c r="AA238" i="5"/>
  <c r="F289" i="29"/>
  <c r="H289" i="29" s="1"/>
  <c r="M3" i="5"/>
  <c r="AA5" i="5"/>
  <c r="F145" i="29"/>
  <c r="H145" i="29" s="1"/>
  <c r="AA45" i="5"/>
  <c r="F536" i="29"/>
  <c r="H536" i="29" s="1"/>
  <c r="F537" i="29"/>
  <c r="H537" i="29" s="1"/>
  <c r="N10" i="5"/>
  <c r="F381" i="29"/>
  <c r="H381" i="29" s="1"/>
  <c r="F141" i="29"/>
  <c r="H141" i="29" s="1"/>
  <c r="AA205" i="5"/>
  <c r="F372" i="29"/>
  <c r="H372" i="29" s="1"/>
  <c r="F187" i="29"/>
  <c r="H187" i="29" s="1"/>
  <c r="F199" i="29"/>
  <c r="H199" i="29" s="1"/>
  <c r="F193" i="29"/>
  <c r="H193" i="29" s="1"/>
  <c r="AA300" i="5"/>
  <c r="F181" i="29"/>
  <c r="H181" i="29" s="1"/>
  <c r="L7" i="5"/>
  <c r="F511" i="29"/>
  <c r="H511" i="29" s="1"/>
  <c r="AA24" i="5"/>
  <c r="F447" i="29"/>
  <c r="H447" i="29" s="1"/>
  <c r="F448" i="29"/>
  <c r="H448" i="29" s="1"/>
  <c r="F446" i="29"/>
  <c r="H446" i="29" s="1"/>
  <c r="AA63" i="5"/>
  <c r="M14" i="5"/>
  <c r="F449" i="29"/>
  <c r="H449" i="29" s="1"/>
  <c r="AA282" i="5"/>
  <c r="F480" i="29"/>
  <c r="H480" i="29" s="1"/>
  <c r="F478" i="29"/>
  <c r="H478" i="29" s="1"/>
  <c r="F479" i="29"/>
  <c r="H479" i="29" s="1"/>
  <c r="F277" i="29"/>
  <c r="H277" i="29" s="1"/>
  <c r="AA81" i="5"/>
  <c r="F211" i="29"/>
  <c r="H211" i="29" s="1"/>
  <c r="F550" i="29"/>
  <c r="H550" i="29" s="1"/>
  <c r="AA169" i="5"/>
  <c r="F551" i="29"/>
  <c r="H551" i="29" s="1"/>
  <c r="F266" i="29"/>
  <c r="H266" i="29" s="1"/>
  <c r="AA172" i="5"/>
  <c r="F257" i="29"/>
  <c r="H257" i="29" s="1"/>
  <c r="F436" i="29"/>
  <c r="H436" i="29" s="1"/>
  <c r="M17" i="5"/>
  <c r="AA80" i="5"/>
  <c r="F239" i="29"/>
  <c r="H239" i="29" s="1"/>
  <c r="F210" i="29"/>
  <c r="H210" i="29" s="1"/>
  <c r="F302" i="29"/>
  <c r="H302" i="29" s="1"/>
  <c r="F283" i="29"/>
  <c r="H283" i="29" s="1"/>
  <c r="F161" i="29"/>
  <c r="H161" i="29" s="1"/>
  <c r="AA13" i="5"/>
  <c r="F154" i="29"/>
  <c r="H154" i="29" s="1"/>
  <c r="AA139" i="5"/>
  <c r="N25" i="5"/>
  <c r="F330" i="29"/>
  <c r="H330" i="29" s="1"/>
  <c r="F73" i="29"/>
  <c r="H73" i="29" s="1"/>
  <c r="F429" i="29"/>
  <c r="H429" i="29" s="1"/>
  <c r="F112" i="29"/>
  <c r="H112" i="29" s="1"/>
  <c r="F86" i="29"/>
  <c r="H86" i="29" s="1"/>
  <c r="F379" i="29"/>
  <c r="H379" i="29" s="1"/>
  <c r="F97" i="29"/>
  <c r="H97" i="29" s="1"/>
  <c r="F323" i="29"/>
  <c r="H323" i="29" s="1"/>
  <c r="F407" i="29"/>
  <c r="H407" i="29" s="1"/>
  <c r="F92" i="29"/>
  <c r="H92" i="29" s="1"/>
  <c r="AA223" i="5"/>
  <c r="F102" i="29"/>
  <c r="H102" i="29" s="1"/>
  <c r="N37" i="5"/>
  <c r="AA220" i="5"/>
  <c r="F319" i="29"/>
  <c r="H319" i="29" s="1"/>
  <c r="F403" i="29"/>
  <c r="H403" i="29" s="1"/>
  <c r="F325" i="29"/>
  <c r="H325" i="29" s="1"/>
  <c r="M33" i="5"/>
  <c r="AA190" i="5"/>
  <c r="F157" i="29"/>
  <c r="H157" i="29" s="1"/>
  <c r="AA9" i="5"/>
  <c r="F294" i="29"/>
  <c r="H294" i="29" s="1"/>
  <c r="F150" i="29"/>
  <c r="H150" i="29" s="1"/>
  <c r="F169" i="29"/>
  <c r="H169" i="29" s="1"/>
  <c r="F280" i="29"/>
  <c r="H280" i="29" s="1"/>
  <c r="L4" i="5"/>
  <c r="F298" i="29"/>
  <c r="H298" i="29" s="1"/>
  <c r="AA2" i="5"/>
  <c r="L3" i="5"/>
  <c r="F142" i="29"/>
  <c r="H142" i="29" s="1"/>
  <c r="F114" i="29"/>
  <c r="H114" i="29" s="1"/>
  <c r="AA231" i="5"/>
  <c r="AA150" i="5"/>
  <c r="L28" i="5"/>
  <c r="F179" i="29"/>
  <c r="H179" i="29" s="1"/>
  <c r="AA298" i="5"/>
  <c r="F185" i="29"/>
  <c r="H185" i="29" s="1"/>
  <c r="F197" i="29"/>
  <c r="H197" i="29" s="1"/>
  <c r="F54" i="29"/>
  <c r="H54" i="29" s="1"/>
  <c r="F21" i="29"/>
  <c r="H21" i="29" s="1"/>
  <c r="F191" i="29"/>
  <c r="H191" i="29" s="1"/>
  <c r="F138" i="29"/>
  <c r="H138" i="29" s="1"/>
  <c r="AA202" i="5"/>
  <c r="F380" i="29"/>
  <c r="H380" i="29" s="1"/>
  <c r="F263" i="29"/>
  <c r="H263" i="29" s="1"/>
  <c r="F267" i="29"/>
  <c r="H267" i="29" s="1"/>
  <c r="AA174" i="5"/>
  <c r="F258" i="29"/>
  <c r="H258" i="29" s="1"/>
  <c r="F320" i="29"/>
  <c r="H320" i="29" s="1"/>
  <c r="F364" i="29"/>
  <c r="H364" i="29" s="1"/>
  <c r="F87" i="29"/>
  <c r="H87" i="29" s="1"/>
  <c r="F375" i="29"/>
  <c r="H375" i="29" s="1"/>
  <c r="F404" i="29"/>
  <c r="H404" i="29" s="1"/>
  <c r="AA268" i="5"/>
  <c r="F256" i="29"/>
  <c r="H256" i="29" s="1"/>
  <c r="F335" i="29"/>
  <c r="H335" i="29" s="1"/>
  <c r="F326" i="29"/>
  <c r="H326" i="29" s="1"/>
  <c r="F83" i="29"/>
  <c r="H83" i="29" s="1"/>
  <c r="F94" i="29"/>
  <c r="H94" i="29" s="1"/>
  <c r="M46" i="5"/>
  <c r="F541" i="29"/>
  <c r="H541" i="29" s="1"/>
  <c r="AA48" i="5"/>
  <c r="F113" i="29"/>
  <c r="H113" i="29" s="1"/>
  <c r="AA232" i="5"/>
  <c r="F68" i="29"/>
  <c r="H68" i="29" s="1"/>
  <c r="M47" i="5"/>
  <c r="F417" i="29"/>
  <c r="H417" i="29" s="1"/>
  <c r="F80" i="29"/>
  <c r="H80" i="29" s="1"/>
  <c r="AA281" i="5"/>
  <c r="F93" i="29"/>
  <c r="H93" i="29" s="1"/>
  <c r="F104" i="29"/>
  <c r="H104" i="29" s="1"/>
  <c r="AA218" i="5"/>
  <c r="F136" i="29"/>
  <c r="H136" i="29" s="1"/>
  <c r="AA134" i="5"/>
  <c r="F85" i="29"/>
  <c r="H85" i="29" s="1"/>
  <c r="F111" i="29"/>
  <c r="H111" i="29" s="1"/>
  <c r="F91" i="29"/>
  <c r="H91" i="29" s="1"/>
  <c r="F329" i="29"/>
  <c r="H329" i="29" s="1"/>
  <c r="AA217" i="5"/>
  <c r="F406" i="29"/>
  <c r="H406" i="29" s="1"/>
  <c r="F72" i="29"/>
  <c r="H72" i="29" s="1"/>
  <c r="F428" i="29"/>
  <c r="H428" i="29" s="1"/>
  <c r="F96" i="29"/>
  <c r="H96" i="29" s="1"/>
  <c r="F322" i="29"/>
  <c r="H322" i="29" s="1"/>
  <c r="F378" i="29"/>
  <c r="H378" i="29" s="1"/>
  <c r="AA152" i="5"/>
  <c r="M28" i="5"/>
  <c r="F139" i="29"/>
  <c r="H139" i="29" s="1"/>
  <c r="F253" i="29"/>
  <c r="H253" i="29" s="1"/>
  <c r="AA167" i="5"/>
  <c r="F264" i="29"/>
  <c r="H264" i="29" s="1"/>
  <c r="F49" i="29"/>
  <c r="H49" i="29" s="1"/>
  <c r="AA168" i="5"/>
  <c r="M53" i="5"/>
  <c r="AA316" i="5"/>
  <c r="AA124" i="5"/>
  <c r="F130" i="29"/>
  <c r="H130" i="29" s="1"/>
  <c r="AA269" i="5"/>
  <c r="F84" i="29"/>
  <c r="H84" i="29" s="1"/>
  <c r="F123" i="29"/>
  <c r="H123" i="29" s="1"/>
  <c r="F28" i="29"/>
  <c r="H28" i="29" s="1"/>
  <c r="F23" i="29"/>
  <c r="H23" i="29" s="1"/>
  <c r="AA115" i="5"/>
  <c r="F202" i="29"/>
  <c r="H202" i="29" s="1"/>
  <c r="F217" i="29"/>
  <c r="H217" i="29" s="1"/>
  <c r="AA267" i="5"/>
  <c r="F204" i="29"/>
  <c r="H204" i="29" s="1"/>
  <c r="F214" i="29"/>
  <c r="H214" i="29" s="1"/>
  <c r="O38" i="5" l="1"/>
  <c r="Y228" i="5" s="1"/>
  <c r="AB228" i="5" s="1"/>
  <c r="O39" i="5"/>
  <c r="O11" i="5"/>
  <c r="O42" i="5"/>
  <c r="Y246" i="5" s="1"/>
  <c r="AB246" i="5" s="1"/>
  <c r="O4" i="5"/>
  <c r="Y15" i="5" s="1"/>
  <c r="AB15" i="5" s="1"/>
  <c r="O54" i="5"/>
  <c r="Y322" i="5" s="1"/>
  <c r="AB322" i="5" s="1"/>
  <c r="O7" i="5"/>
  <c r="Y26" i="5" s="1"/>
  <c r="AB26" i="5" s="1"/>
  <c r="O17" i="5"/>
  <c r="O23" i="32" s="1"/>
  <c r="O23" i="5"/>
  <c r="O13" i="5"/>
  <c r="O52" i="5"/>
  <c r="O15" i="5"/>
  <c r="Y12" i="5"/>
  <c r="AB12" i="5" s="1"/>
  <c r="O24" i="5"/>
  <c r="O48" i="5"/>
  <c r="O46" i="5"/>
  <c r="O14" i="5"/>
  <c r="O5" i="5"/>
  <c r="O35" i="5"/>
  <c r="O17" i="32"/>
  <c r="Y229" i="5"/>
  <c r="AB229" i="5" s="1"/>
  <c r="E18" i="34"/>
  <c r="Y233" i="5"/>
  <c r="AB233" i="5" s="1"/>
  <c r="I8" i="1"/>
  <c r="Y235" i="5"/>
  <c r="AB235" i="5" s="1"/>
  <c r="Y232" i="5"/>
  <c r="AB232" i="5" s="1"/>
  <c r="Y234" i="5"/>
  <c r="AB234" i="5" s="1"/>
  <c r="Y231" i="5"/>
  <c r="AB231" i="5" s="1"/>
  <c r="Y230" i="5"/>
  <c r="AB230" i="5" s="1"/>
  <c r="O10" i="5"/>
  <c r="O41" i="5"/>
  <c r="O53" i="32"/>
  <c r="O29" i="5"/>
  <c r="O33" i="5"/>
  <c r="O27" i="5"/>
  <c r="O8" i="5"/>
  <c r="O44" i="5"/>
  <c r="O30" i="5"/>
  <c r="E17" i="34"/>
  <c r="T64" i="29"/>
  <c r="S64" i="29" s="1"/>
  <c r="N71" i="24" s="1"/>
  <c r="W7" i="29"/>
  <c r="Q59" i="29"/>
  <c r="T88" i="29"/>
  <c r="S88" i="29" s="1"/>
  <c r="N95" i="24" s="1"/>
  <c r="T59" i="29"/>
  <c r="S59" i="29" s="1"/>
  <c r="N66" i="24" s="1"/>
  <c r="Q100" i="29"/>
  <c r="T81" i="29"/>
  <c r="S81" i="29" s="1"/>
  <c r="N88" i="24" s="1"/>
  <c r="W11" i="29"/>
  <c r="V11" i="29" s="1"/>
  <c r="P18" i="24" s="1"/>
  <c r="T40" i="29"/>
  <c r="S40" i="29" s="1"/>
  <c r="N47" i="24" s="1"/>
  <c r="Q22" i="29"/>
  <c r="Q89" i="29"/>
  <c r="T5" i="29"/>
  <c r="S5" i="29" s="1"/>
  <c r="N12" i="24" s="1"/>
  <c r="Q50" i="29"/>
  <c r="W38" i="29"/>
  <c r="V38" i="29" s="1"/>
  <c r="P45" i="24" s="1"/>
  <c r="Q38" i="29"/>
  <c r="T7" i="29"/>
  <c r="S7" i="29" s="1"/>
  <c r="N14" i="24" s="1"/>
  <c r="Q62" i="29"/>
  <c r="T66" i="29"/>
  <c r="S66" i="29" s="1"/>
  <c r="N73" i="24" s="1"/>
  <c r="Q25" i="29"/>
  <c r="W66" i="29"/>
  <c r="V66" i="29" s="1"/>
  <c r="P73" i="24" s="1"/>
  <c r="Q14" i="29"/>
  <c r="W34" i="29"/>
  <c r="Q13" i="29"/>
  <c r="W23" i="29"/>
  <c r="V23" i="29" s="1"/>
  <c r="P30" i="24" s="1"/>
  <c r="W93" i="29"/>
  <c r="V93" i="29" s="1"/>
  <c r="P100" i="24" s="1"/>
  <c r="W95" i="29"/>
  <c r="V95" i="29" s="1"/>
  <c r="P102" i="24" s="1"/>
  <c r="Q96" i="29"/>
  <c r="T105" i="29"/>
  <c r="Q68" i="29"/>
  <c r="T54" i="29"/>
  <c r="S54" i="29" s="1"/>
  <c r="N61" i="24" s="1"/>
  <c r="T18" i="29"/>
  <c r="S18" i="29" s="1"/>
  <c r="N25" i="24" s="1"/>
  <c r="W37" i="29"/>
  <c r="V37" i="29" s="1"/>
  <c r="P44" i="24" s="1"/>
  <c r="T71" i="29"/>
  <c r="S71" i="29" s="1"/>
  <c r="N78" i="24" s="1"/>
  <c r="Q107" i="29"/>
  <c r="Q95" i="29"/>
  <c r="Q79" i="29"/>
  <c r="T42" i="29"/>
  <c r="S42" i="29" s="1"/>
  <c r="N49" i="24" s="1"/>
  <c r="W29" i="29"/>
  <c r="V29" i="29" s="1"/>
  <c r="P36" i="24" s="1"/>
  <c r="Q66" i="29"/>
  <c r="W89" i="29"/>
  <c r="W70" i="29"/>
  <c r="W48" i="29"/>
  <c r="V48" i="29" s="1"/>
  <c r="P55" i="24" s="1"/>
  <c r="W24" i="29"/>
  <c r="V24" i="29" s="1"/>
  <c r="P31" i="24" s="1"/>
  <c r="T74" i="29"/>
  <c r="S74" i="29" s="1"/>
  <c r="N81" i="24" s="1"/>
  <c r="W36" i="29"/>
  <c r="Q34" i="29"/>
  <c r="Q102" i="29"/>
  <c r="T75" i="29"/>
  <c r="S75" i="29" s="1"/>
  <c r="N82" i="24" s="1"/>
  <c r="Q85" i="29"/>
  <c r="Q48" i="29"/>
  <c r="Q30" i="29"/>
  <c r="T100" i="29"/>
  <c r="T56" i="29"/>
  <c r="S56" i="29" s="1"/>
  <c r="N63" i="24" s="1"/>
  <c r="Q72" i="29"/>
  <c r="W76" i="29"/>
  <c r="V76" i="29" s="1"/>
  <c r="P83" i="24" s="1"/>
  <c r="W47" i="29"/>
  <c r="V47" i="29" s="1"/>
  <c r="P54" i="24" s="1"/>
  <c r="W65" i="29"/>
  <c r="V65" i="29" s="1"/>
  <c r="P72" i="24" s="1"/>
  <c r="T33" i="29"/>
  <c r="S33" i="29" s="1"/>
  <c r="N40" i="24" s="1"/>
  <c r="Q32" i="29"/>
  <c r="T102" i="29"/>
  <c r="W10" i="29"/>
  <c r="V10" i="29" s="1"/>
  <c r="P17" i="24" s="1"/>
  <c r="Q9" i="29"/>
  <c r="T106" i="29"/>
  <c r="T87" i="29"/>
  <c r="S87" i="29" s="1"/>
  <c r="N94" i="24" s="1"/>
  <c r="T91" i="29"/>
  <c r="S91" i="29" s="1"/>
  <c r="N98" i="24" s="1"/>
  <c r="Q24" i="29"/>
  <c r="Q106" i="29"/>
  <c r="T13" i="29"/>
  <c r="S13" i="29" s="1"/>
  <c r="N20" i="24" s="1"/>
  <c r="Q81" i="29"/>
  <c r="Q33" i="29"/>
  <c r="W3" i="29"/>
  <c r="V3" i="29" s="1"/>
  <c r="P10" i="24" s="1"/>
  <c r="T101" i="29"/>
  <c r="S101" i="29" s="1"/>
  <c r="N108" i="24" s="1"/>
  <c r="T38" i="29"/>
  <c r="S38" i="29" s="1"/>
  <c r="N45" i="24" s="1"/>
  <c r="T80" i="29"/>
  <c r="S80" i="29" s="1"/>
  <c r="N87" i="24" s="1"/>
  <c r="Q23" i="29"/>
  <c r="Q55" i="29"/>
  <c r="W40" i="29"/>
  <c r="V40" i="29" s="1"/>
  <c r="P47" i="24" s="1"/>
  <c r="T10" i="29"/>
  <c r="S10" i="29" s="1"/>
  <c r="N17" i="24" s="1"/>
  <c r="W35" i="29"/>
  <c r="V35" i="29" s="1"/>
  <c r="P42" i="24" s="1"/>
  <c r="Q92" i="29"/>
  <c r="Q18" i="29"/>
  <c r="W26" i="29"/>
  <c r="V26" i="29" s="1"/>
  <c r="P33" i="24" s="1"/>
  <c r="T77" i="29"/>
  <c r="S77" i="29" s="1"/>
  <c r="N84" i="24" s="1"/>
  <c r="W17" i="29"/>
  <c r="V17" i="29" s="1"/>
  <c r="P24" i="24" s="1"/>
  <c r="W63" i="29"/>
  <c r="V63" i="29" s="1"/>
  <c r="P70" i="24" s="1"/>
  <c r="T4" i="29"/>
  <c r="S4" i="29" s="1"/>
  <c r="N11" i="24" s="1"/>
  <c r="T14" i="29"/>
  <c r="S14" i="29" s="1"/>
  <c r="N21" i="24" s="1"/>
  <c r="T78" i="29"/>
  <c r="S78" i="29" s="1"/>
  <c r="N85" i="24" s="1"/>
  <c r="Q82" i="29"/>
  <c r="W107" i="29"/>
  <c r="V107" i="29" s="1"/>
  <c r="P114" i="24" s="1"/>
  <c r="T27" i="29"/>
  <c r="S27" i="29" s="1"/>
  <c r="N34" i="24" s="1"/>
  <c r="Q53" i="29"/>
  <c r="T83" i="29"/>
  <c r="S83" i="29" s="1"/>
  <c r="N90" i="24" s="1"/>
  <c r="W20" i="29"/>
  <c r="V20" i="29" s="1"/>
  <c r="P27" i="24" s="1"/>
  <c r="T43" i="29"/>
  <c r="S43" i="29" s="1"/>
  <c r="N50" i="24" s="1"/>
  <c r="T15" i="29"/>
  <c r="S15" i="29" s="1"/>
  <c r="N22" i="24" s="1"/>
  <c r="Q76" i="29"/>
  <c r="W67" i="29"/>
  <c r="V67" i="29" s="1"/>
  <c r="P74" i="24" s="1"/>
  <c r="W50" i="29"/>
  <c r="Q10" i="29"/>
  <c r="W87" i="29"/>
  <c r="V87" i="29" s="1"/>
  <c r="P94" i="24" s="1"/>
  <c r="W19" i="29"/>
  <c r="V19" i="29" s="1"/>
  <c r="P26" i="24" s="1"/>
  <c r="Q58" i="29"/>
  <c r="T70" i="29"/>
  <c r="W43" i="29"/>
  <c r="V43" i="29" s="1"/>
  <c r="P50" i="24" s="1"/>
  <c r="W108" i="29"/>
  <c r="T52" i="29"/>
  <c r="S52" i="29" s="1"/>
  <c r="N59" i="24" s="1"/>
  <c r="T53" i="29"/>
  <c r="S53" i="29" s="1"/>
  <c r="N60" i="24" s="1"/>
  <c r="T67" i="29"/>
  <c r="S67" i="29" s="1"/>
  <c r="N74" i="24" s="1"/>
  <c r="T68" i="29"/>
  <c r="S68" i="29" s="1"/>
  <c r="N75" i="24" s="1"/>
  <c r="Q108" i="29"/>
  <c r="Q2" i="29"/>
  <c r="Q39" i="29"/>
  <c r="W28" i="29"/>
  <c r="V28" i="29" s="1"/>
  <c r="P35" i="24" s="1"/>
  <c r="T21" i="29"/>
  <c r="S21" i="29" s="1"/>
  <c r="N28" i="24" s="1"/>
  <c r="Q75" i="29"/>
  <c r="Q36" i="29"/>
  <c r="T25" i="29"/>
  <c r="S25" i="29" s="1"/>
  <c r="N32" i="24" s="1"/>
  <c r="T99" i="29"/>
  <c r="W98" i="29"/>
  <c r="V98" i="29" s="1"/>
  <c r="P105" i="24" s="1"/>
  <c r="T79" i="29"/>
  <c r="S79" i="29" s="1"/>
  <c r="N86" i="24" s="1"/>
  <c r="T98" i="29"/>
  <c r="S98" i="29" s="1"/>
  <c r="N105" i="24" s="1"/>
  <c r="T92" i="29"/>
  <c r="S92" i="29" s="1"/>
  <c r="N99" i="24" s="1"/>
  <c r="Q64" i="29"/>
  <c r="W55" i="29"/>
  <c r="V55" i="29" s="1"/>
  <c r="P62" i="24" s="1"/>
  <c r="W96" i="29"/>
  <c r="V96" i="29" s="1"/>
  <c r="P103" i="24" s="1"/>
  <c r="Q20" i="29"/>
  <c r="T23" i="29"/>
  <c r="S23" i="29" s="1"/>
  <c r="N30" i="24" s="1"/>
  <c r="W94" i="29"/>
  <c r="V94" i="29" s="1"/>
  <c r="P101" i="24" s="1"/>
  <c r="Q5" i="29"/>
  <c r="T62" i="29"/>
  <c r="S62" i="29" s="1"/>
  <c r="N69" i="24" s="1"/>
  <c r="T69" i="29"/>
  <c r="S69" i="29" s="1"/>
  <c r="N76" i="24" s="1"/>
  <c r="Q29" i="29"/>
  <c r="Q80" i="29"/>
  <c r="T48" i="29"/>
  <c r="S48" i="29" s="1"/>
  <c r="N55" i="24" s="1"/>
  <c r="T11" i="29"/>
  <c r="S11" i="29" s="1"/>
  <c r="N18" i="24" s="1"/>
  <c r="Q37" i="29"/>
  <c r="T97" i="29"/>
  <c r="S97" i="29" s="1"/>
  <c r="N104" i="24" s="1"/>
  <c r="Q46" i="29"/>
  <c r="T73" i="29"/>
  <c r="S73" i="29" s="1"/>
  <c r="N80" i="24" s="1"/>
  <c r="T84" i="29"/>
  <c r="S84" i="29" s="1"/>
  <c r="N91" i="24" s="1"/>
  <c r="Q78" i="29"/>
  <c r="Q54" i="29"/>
  <c r="T60" i="29"/>
  <c r="S60" i="29" s="1"/>
  <c r="N67" i="24" s="1"/>
  <c r="T103" i="29"/>
  <c r="Q7" i="29"/>
  <c r="W60" i="29"/>
  <c r="V60" i="29" s="1"/>
  <c r="P67" i="24" s="1"/>
  <c r="T55" i="29"/>
  <c r="T93" i="29"/>
  <c r="S93" i="29" s="1"/>
  <c r="N100" i="24" s="1"/>
  <c r="W44" i="29"/>
  <c r="V44" i="29" s="1"/>
  <c r="P51" i="24" s="1"/>
  <c r="T29" i="29"/>
  <c r="S29" i="29" s="1"/>
  <c r="N36" i="24" s="1"/>
  <c r="T35" i="29"/>
  <c r="S35" i="29" s="1"/>
  <c r="N42" i="24" s="1"/>
  <c r="W18" i="29"/>
  <c r="V18" i="29" s="1"/>
  <c r="P25" i="24" s="1"/>
  <c r="W64" i="29"/>
  <c r="V64" i="29" s="1"/>
  <c r="P71" i="24" s="1"/>
  <c r="W86" i="29"/>
  <c r="V86" i="29" s="1"/>
  <c r="P93" i="24" s="1"/>
  <c r="T82" i="29"/>
  <c r="S82" i="29" s="1"/>
  <c r="N89" i="24" s="1"/>
  <c r="T90" i="29"/>
  <c r="S90" i="29" s="1"/>
  <c r="N97" i="24" s="1"/>
  <c r="T20" i="29"/>
  <c r="S20" i="29" s="1"/>
  <c r="N27" i="24" s="1"/>
  <c r="T76" i="29"/>
  <c r="S76" i="29" s="1"/>
  <c r="N83" i="24" s="1"/>
  <c r="W74" i="29"/>
  <c r="V74" i="29" s="1"/>
  <c r="P81" i="24" s="1"/>
  <c r="T94" i="29"/>
  <c r="S94" i="29" s="1"/>
  <c r="N101" i="24" s="1"/>
  <c r="W109" i="29"/>
  <c r="Q77" i="29"/>
  <c r="W12" i="29"/>
  <c r="V12" i="29" s="1"/>
  <c r="P19" i="24" s="1"/>
  <c r="T86" i="29"/>
  <c r="S86" i="29" s="1"/>
  <c r="N93" i="24" s="1"/>
  <c r="Q86" i="29"/>
  <c r="T12" i="29"/>
  <c r="S12" i="29" s="1"/>
  <c r="N19" i="24" s="1"/>
  <c r="W39" i="29"/>
  <c r="V39" i="29" s="1"/>
  <c r="P46" i="24" s="1"/>
  <c r="W57" i="29"/>
  <c r="V57" i="29" s="1"/>
  <c r="P64" i="24" s="1"/>
  <c r="T32" i="29"/>
  <c r="S32" i="29" s="1"/>
  <c r="N39" i="24" s="1"/>
  <c r="Q109" i="29"/>
  <c r="W88" i="29"/>
  <c r="Q27" i="29"/>
  <c r="Q87" i="29"/>
  <c r="Q104" i="29"/>
  <c r="W97" i="29"/>
  <c r="V97" i="29" s="1"/>
  <c r="P104" i="24" s="1"/>
  <c r="Q40" i="29"/>
  <c r="T17" i="29"/>
  <c r="S17" i="29" s="1"/>
  <c r="N24" i="24" s="1"/>
  <c r="T31" i="29"/>
  <c r="S31" i="29" s="1"/>
  <c r="N38" i="24" s="1"/>
  <c r="W56" i="29"/>
  <c r="V56" i="29" s="1"/>
  <c r="P63" i="24" s="1"/>
  <c r="Q49" i="29"/>
  <c r="W45" i="29"/>
  <c r="V45" i="29" s="1"/>
  <c r="P52" i="24" s="1"/>
  <c r="W27" i="29"/>
  <c r="V27" i="29" s="1"/>
  <c r="P34" i="24" s="1"/>
  <c r="W100" i="29"/>
  <c r="T107" i="29"/>
  <c r="S107" i="29" s="1"/>
  <c r="N114" i="24" s="1"/>
  <c r="Q15" i="29"/>
  <c r="T37" i="29"/>
  <c r="S37" i="29" s="1"/>
  <c r="N44" i="24" s="1"/>
  <c r="W79" i="29"/>
  <c r="V79" i="29" s="1"/>
  <c r="P86" i="24" s="1"/>
  <c r="W80" i="29"/>
  <c r="V80" i="29" s="1"/>
  <c r="P87" i="24" s="1"/>
  <c r="Q3" i="29"/>
  <c r="W61" i="29"/>
  <c r="V61" i="29" s="1"/>
  <c r="P68" i="24" s="1"/>
  <c r="T95" i="29"/>
  <c r="S95" i="29" s="1"/>
  <c r="N102" i="24" s="1"/>
  <c r="W31" i="29"/>
  <c r="V31" i="29" s="1"/>
  <c r="P38" i="24" s="1"/>
  <c r="T63" i="29"/>
  <c r="S63" i="29" s="1"/>
  <c r="N70" i="24" s="1"/>
  <c r="W84" i="29"/>
  <c r="V84" i="29" s="1"/>
  <c r="P91" i="24" s="1"/>
  <c r="Q94" i="29"/>
  <c r="Q83" i="29"/>
  <c r="Q42" i="29"/>
  <c r="W46" i="29"/>
  <c r="V46" i="29" s="1"/>
  <c r="P53" i="24" s="1"/>
  <c r="Q4" i="29"/>
  <c r="T9" i="29"/>
  <c r="S9" i="29" s="1"/>
  <c r="N16" i="24" s="1"/>
  <c r="W75" i="29"/>
  <c r="V75" i="29" s="1"/>
  <c r="P82" i="24" s="1"/>
  <c r="W69" i="29"/>
  <c r="V69" i="29" s="1"/>
  <c r="P76" i="24" s="1"/>
  <c r="Q91" i="29"/>
  <c r="W92" i="29"/>
  <c r="Q56" i="29"/>
  <c r="T16" i="29"/>
  <c r="S16" i="29" s="1"/>
  <c r="N23" i="24" s="1"/>
  <c r="T49" i="29"/>
  <c r="S49" i="29" s="1"/>
  <c r="N56" i="24" s="1"/>
  <c r="T30" i="29"/>
  <c r="S30" i="29" s="1"/>
  <c r="N37" i="24" s="1"/>
  <c r="Q98" i="29"/>
  <c r="W68" i="29"/>
  <c r="V68" i="29" s="1"/>
  <c r="P75" i="24" s="1"/>
  <c r="W72" i="29"/>
  <c r="V72" i="29" s="1"/>
  <c r="P79" i="24" s="1"/>
  <c r="T6" i="29"/>
  <c r="S6" i="29" s="1"/>
  <c r="N13" i="24" s="1"/>
  <c r="Q21" i="29"/>
  <c r="T19" i="29"/>
  <c r="S19" i="29" s="1"/>
  <c r="N26" i="24" s="1"/>
  <c r="W42" i="29"/>
  <c r="V42" i="29" s="1"/>
  <c r="P49" i="24" s="1"/>
  <c r="W51" i="29"/>
  <c r="V51" i="29" s="1"/>
  <c r="P58" i="24" s="1"/>
  <c r="T22" i="29"/>
  <c r="S22" i="29" s="1"/>
  <c r="N29" i="24" s="1"/>
  <c r="T51" i="29"/>
  <c r="S51" i="29" s="1"/>
  <c r="N58" i="24" s="1"/>
  <c r="W78" i="29"/>
  <c r="V78" i="29" s="1"/>
  <c r="P85" i="24" s="1"/>
  <c r="W83" i="29"/>
  <c r="V83" i="29" s="1"/>
  <c r="P90" i="24" s="1"/>
  <c r="Q16" i="29"/>
  <c r="W71" i="29"/>
  <c r="V71" i="29" s="1"/>
  <c r="P78" i="24" s="1"/>
  <c r="Q52" i="29"/>
  <c r="W102" i="29"/>
  <c r="V102" i="29" s="1"/>
  <c r="P109" i="24" s="1"/>
  <c r="Q69" i="29"/>
  <c r="T3" i="29"/>
  <c r="S3" i="29" s="1"/>
  <c r="N10" i="24" s="1"/>
  <c r="T2" i="29"/>
  <c r="S2" i="29" s="1"/>
  <c r="N9" i="24" s="1"/>
  <c r="Q88" i="29"/>
  <c r="T72" i="29"/>
  <c r="S72" i="29" s="1"/>
  <c r="N79" i="24" s="1"/>
  <c r="Q67" i="29"/>
  <c r="W13" i="29"/>
  <c r="V13" i="29" s="1"/>
  <c r="P20" i="24" s="1"/>
  <c r="Q73" i="29"/>
  <c r="T109" i="29"/>
  <c r="S109" i="29" s="1"/>
  <c r="N116" i="24" s="1"/>
  <c r="Q60" i="29"/>
  <c r="W32" i="29"/>
  <c r="V32" i="29" s="1"/>
  <c r="P39" i="24" s="1"/>
  <c r="Q105" i="29"/>
  <c r="Q70" i="29"/>
  <c r="Q11" i="29"/>
  <c r="Q61" i="29"/>
  <c r="W5" i="29"/>
  <c r="V5" i="29" s="1"/>
  <c r="P12" i="24" s="1"/>
  <c r="W54" i="29"/>
  <c r="V54" i="29" s="1"/>
  <c r="P61" i="24" s="1"/>
  <c r="W103" i="29"/>
  <c r="V103" i="29" s="1"/>
  <c r="P110" i="24" s="1"/>
  <c r="W2" i="29"/>
  <c r="V2" i="29" s="1"/>
  <c r="P9" i="24" s="1"/>
  <c r="T89" i="29"/>
  <c r="S89" i="29" s="1"/>
  <c r="N96" i="24" s="1"/>
  <c r="Q19" i="29"/>
  <c r="W21" i="29"/>
  <c r="V21" i="29" s="1"/>
  <c r="P28" i="24" s="1"/>
  <c r="W106" i="29"/>
  <c r="V106" i="29" s="1"/>
  <c r="P113" i="24" s="1"/>
  <c r="Q74" i="29"/>
  <c r="T47" i="29"/>
  <c r="S47" i="29" s="1"/>
  <c r="N54" i="24" s="1"/>
  <c r="Q44" i="29"/>
  <c r="T85" i="29"/>
  <c r="S85" i="29" s="1"/>
  <c r="N92" i="24" s="1"/>
  <c r="W6" i="29"/>
  <c r="V6" i="29" s="1"/>
  <c r="P13" i="24" s="1"/>
  <c r="Q26" i="29"/>
  <c r="T58" i="29"/>
  <c r="S58" i="29" s="1"/>
  <c r="N65" i="24" s="1"/>
  <c r="Q84" i="29"/>
  <c r="T34" i="29"/>
  <c r="S34" i="29" s="1"/>
  <c r="N41" i="24" s="1"/>
  <c r="T44" i="29"/>
  <c r="S44" i="29" s="1"/>
  <c r="N51" i="24" s="1"/>
  <c r="T96" i="29"/>
  <c r="S96" i="29" s="1"/>
  <c r="N103" i="24" s="1"/>
  <c r="W99" i="29"/>
  <c r="T61" i="29"/>
  <c r="S61" i="29" s="1"/>
  <c r="N68" i="24" s="1"/>
  <c r="W73" i="29"/>
  <c r="V73" i="29" s="1"/>
  <c r="P80" i="24" s="1"/>
  <c r="W30" i="29"/>
  <c r="V30" i="29" s="1"/>
  <c r="P37" i="24" s="1"/>
  <c r="W105" i="29"/>
  <c r="V105" i="29" s="1"/>
  <c r="P112" i="24" s="1"/>
  <c r="T36" i="29"/>
  <c r="S36" i="29" s="1"/>
  <c r="N43" i="24" s="1"/>
  <c r="Q12" i="29"/>
  <c r="W91" i="29"/>
  <c r="V91" i="29" s="1"/>
  <c r="P98" i="24" s="1"/>
  <c r="W9" i="29"/>
  <c r="V9" i="29" s="1"/>
  <c r="P16" i="24" s="1"/>
  <c r="W90" i="29"/>
  <c r="V90" i="29" s="1"/>
  <c r="P97" i="24" s="1"/>
  <c r="Q101" i="29"/>
  <c r="Q43" i="29"/>
  <c r="Q63" i="29"/>
  <c r="W25" i="29"/>
  <c r="V25" i="29" s="1"/>
  <c r="P32" i="24" s="1"/>
  <c r="Q31" i="29"/>
  <c r="W4" i="29"/>
  <c r="V4" i="29" s="1"/>
  <c r="P11" i="24" s="1"/>
  <c r="Q57" i="29"/>
  <c r="Q35" i="29"/>
  <c r="W53" i="29"/>
  <c r="V53" i="29" s="1"/>
  <c r="P60" i="24" s="1"/>
  <c r="T104" i="29"/>
  <c r="S104" i="29" s="1"/>
  <c r="N111" i="24" s="1"/>
  <c r="T28" i="29"/>
  <c r="S28" i="29" s="1"/>
  <c r="N35" i="24" s="1"/>
  <c r="Q47" i="29"/>
  <c r="W8" i="29"/>
  <c r="V8" i="29" s="1"/>
  <c r="P15" i="24" s="1"/>
  <c r="T39" i="29"/>
  <c r="S39" i="29" s="1"/>
  <c r="N46" i="24" s="1"/>
  <c r="W81" i="29"/>
  <c r="V81" i="29" s="1"/>
  <c r="P88" i="24" s="1"/>
  <c r="Q99" i="29"/>
  <c r="T8" i="29"/>
  <c r="S8" i="29" s="1"/>
  <c r="N15" i="24" s="1"/>
  <c r="Q93" i="29"/>
  <c r="T46" i="29"/>
  <c r="S46" i="29" s="1"/>
  <c r="N53" i="24" s="1"/>
  <c r="T24" i="29"/>
  <c r="S24" i="29" s="1"/>
  <c r="N31" i="24" s="1"/>
  <c r="Q8" i="29"/>
  <c r="Q90" i="29"/>
  <c r="W41" i="29"/>
  <c r="V41" i="29" s="1"/>
  <c r="P48" i="24" s="1"/>
  <c r="Q103" i="29"/>
  <c r="W62" i="29"/>
  <c r="V62" i="29" s="1"/>
  <c r="P69" i="24" s="1"/>
  <c r="W58" i="29"/>
  <c r="V58" i="29" s="1"/>
  <c r="P65" i="24" s="1"/>
  <c r="W101" i="29"/>
  <c r="V101" i="29" s="1"/>
  <c r="P108" i="24" s="1"/>
  <c r="W82" i="29"/>
  <c r="V82" i="29" s="1"/>
  <c r="P89" i="24" s="1"/>
  <c r="W77" i="29"/>
  <c r="V77" i="29" s="1"/>
  <c r="P84" i="24" s="1"/>
  <c r="W15" i="29"/>
  <c r="V15" i="29" s="1"/>
  <c r="P22" i="24" s="1"/>
  <c r="Q28" i="29"/>
  <c r="W33" i="29"/>
  <c r="V33" i="29" s="1"/>
  <c r="P40" i="24" s="1"/>
  <c r="T65" i="29"/>
  <c r="S65" i="29" s="1"/>
  <c r="N72" i="24" s="1"/>
  <c r="W16" i="29"/>
  <c r="V16" i="29" s="1"/>
  <c r="P23" i="24" s="1"/>
  <c r="W49" i="29"/>
  <c r="V49" i="29" s="1"/>
  <c r="P56" i="24" s="1"/>
  <c r="W104" i="29"/>
  <c r="V104" i="29" s="1"/>
  <c r="P111" i="24" s="1"/>
  <c r="W59" i="29"/>
  <c r="V59" i="29" s="1"/>
  <c r="P66" i="24" s="1"/>
  <c r="T108" i="29"/>
  <c r="S108" i="29" s="1"/>
  <c r="N115" i="24" s="1"/>
  <c r="W85" i="29"/>
  <c r="V85" i="29" s="1"/>
  <c r="P92" i="24" s="1"/>
  <c r="T50" i="29"/>
  <c r="T41" i="29"/>
  <c r="S41" i="29" s="1"/>
  <c r="N48" i="24" s="1"/>
  <c r="Q97" i="29"/>
  <c r="Q17" i="29"/>
  <c r="T26" i="29"/>
  <c r="S26" i="29" s="1"/>
  <c r="N33" i="24" s="1"/>
  <c r="Q71" i="29"/>
  <c r="W14" i="29"/>
  <c r="V14" i="29" s="1"/>
  <c r="P21" i="24" s="1"/>
  <c r="W22" i="29"/>
  <c r="V22" i="29" s="1"/>
  <c r="P29" i="24" s="1"/>
  <c r="Q45" i="29"/>
  <c r="W52" i="29"/>
  <c r="V52" i="29" s="1"/>
  <c r="P59" i="24" s="1"/>
  <c r="T45" i="29"/>
  <c r="S45" i="29" s="1"/>
  <c r="N52" i="24" s="1"/>
  <c r="Q41" i="29"/>
  <c r="T57" i="29"/>
  <c r="Q65" i="29"/>
  <c r="Q51" i="29"/>
  <c r="Q6" i="29"/>
  <c r="Y254" i="5"/>
  <c r="AB254" i="5" s="1"/>
  <c r="O35" i="32"/>
  <c r="H13" i="34"/>
  <c r="Y251" i="5"/>
  <c r="AB251" i="5" s="1"/>
  <c r="Y252" i="5"/>
  <c r="AB252" i="5" s="1"/>
  <c r="Y256" i="5"/>
  <c r="AB256" i="5" s="1"/>
  <c r="Y253" i="5"/>
  <c r="AB253" i="5" s="1"/>
  <c r="I8" i="17"/>
  <c r="Y250" i="5"/>
  <c r="AB250" i="5" s="1"/>
  <c r="Y255" i="5"/>
  <c r="AB255" i="5" s="1"/>
  <c r="Y257" i="5"/>
  <c r="AB257" i="5" s="1"/>
  <c r="Y49" i="5"/>
  <c r="AB49" i="5" s="1"/>
  <c r="Y52" i="5"/>
  <c r="AB52" i="5" s="1"/>
  <c r="Y55" i="5"/>
  <c r="AB55" i="5" s="1"/>
  <c r="Y50" i="5"/>
  <c r="AB50" i="5" s="1"/>
  <c r="H34" i="34"/>
  <c r="Y51" i="5"/>
  <c r="AB51" i="5" s="1"/>
  <c r="I10" i="16"/>
  <c r="Y53" i="5"/>
  <c r="AB53" i="5" s="1"/>
  <c r="Y54" i="5"/>
  <c r="AB54" i="5" s="1"/>
  <c r="O57" i="32"/>
  <c r="O53" i="5"/>
  <c r="O50" i="5"/>
  <c r="O37" i="5"/>
  <c r="O25" i="5"/>
  <c r="O34" i="5"/>
  <c r="Y114" i="5"/>
  <c r="AB114" i="5" s="1"/>
  <c r="Y115" i="5"/>
  <c r="AB115" i="5" s="1"/>
  <c r="I6" i="19"/>
  <c r="Y118" i="5"/>
  <c r="AB118" i="5" s="1"/>
  <c r="Y120" i="5"/>
  <c r="AB120" i="5" s="1"/>
  <c r="Y116" i="5"/>
  <c r="AB116" i="5" s="1"/>
  <c r="O22" i="5"/>
  <c r="Y119" i="5"/>
  <c r="AB119" i="5" s="1"/>
  <c r="Y117" i="5"/>
  <c r="AB117" i="5" s="1"/>
  <c r="E21" i="34"/>
  <c r="O43" i="32"/>
  <c r="O51" i="5"/>
  <c r="O32" i="5"/>
  <c r="O16" i="5"/>
  <c r="O9" i="5"/>
  <c r="O28" i="5"/>
  <c r="O3" i="5"/>
  <c r="O47" i="5"/>
  <c r="E26" i="34"/>
  <c r="Y59" i="5"/>
  <c r="AB59" i="5" s="1"/>
  <c r="Y61" i="5"/>
  <c r="AB61" i="5" s="1"/>
  <c r="Y60" i="5"/>
  <c r="AB60" i="5" s="1"/>
  <c r="Y57" i="5"/>
  <c r="AB57" i="5" s="1"/>
  <c r="Y58" i="5"/>
  <c r="AB58" i="5" s="1"/>
  <c r="Y56" i="5"/>
  <c r="AB56" i="5" s="1"/>
  <c r="O19" i="32"/>
  <c r="I6" i="8"/>
  <c r="O49" i="32"/>
  <c r="Y312" i="5"/>
  <c r="AB312" i="5" s="1"/>
  <c r="Y311" i="5"/>
  <c r="AB311" i="5" s="1"/>
  <c r="Y309" i="5"/>
  <c r="AB309" i="5" s="1"/>
  <c r="H25" i="34"/>
  <c r="Y310" i="5"/>
  <c r="AB310" i="5" s="1"/>
  <c r="Y314" i="5"/>
  <c r="AB314" i="5" s="1"/>
  <c r="I8" i="20"/>
  <c r="Y313" i="5"/>
  <c r="AB313" i="5" s="1"/>
  <c r="Y70" i="5"/>
  <c r="AB70" i="5" s="1"/>
  <c r="Y71" i="5"/>
  <c r="AB71" i="5" s="1"/>
  <c r="O21" i="32"/>
  <c r="Y72" i="5"/>
  <c r="AB72" i="5" s="1"/>
  <c r="E28" i="34"/>
  <c r="Y69" i="5"/>
  <c r="AB69" i="5" s="1"/>
  <c r="I8" i="8"/>
  <c r="Y68" i="5"/>
  <c r="AB68" i="5" s="1"/>
  <c r="Y73" i="5"/>
  <c r="AB73" i="5" s="1"/>
  <c r="Y25" i="5" l="1"/>
  <c r="AB25" i="5" s="1"/>
  <c r="Y31" i="5"/>
  <c r="AB31" i="5" s="1"/>
  <c r="N71" i="29"/>
  <c r="M71" i="29" s="1"/>
  <c r="J78" i="24" s="1"/>
  <c r="O16" i="32"/>
  <c r="N84" i="29"/>
  <c r="M84" i="29" s="1"/>
  <c r="J91" i="24" s="1"/>
  <c r="N103" i="29"/>
  <c r="M103" i="29" s="1"/>
  <c r="J110" i="24" s="1"/>
  <c r="Y224" i="5"/>
  <c r="AB224" i="5" s="1"/>
  <c r="Y226" i="5"/>
  <c r="AB226" i="5" s="1"/>
  <c r="Y227" i="5"/>
  <c r="AB227" i="5" s="1"/>
  <c r="I7" i="1"/>
  <c r="Y225" i="5"/>
  <c r="AB225" i="5" s="1"/>
  <c r="Y83" i="5"/>
  <c r="AB83" i="5" s="1"/>
  <c r="Y86" i="5"/>
  <c r="AB86" i="5" s="1"/>
  <c r="Y241" i="5"/>
  <c r="AB241" i="5" s="1"/>
  <c r="H12" i="34"/>
  <c r="Y13" i="5"/>
  <c r="AB13" i="5" s="1"/>
  <c r="Y80" i="5"/>
  <c r="AB80" i="5" s="1"/>
  <c r="Y244" i="5"/>
  <c r="AB244" i="5" s="1"/>
  <c r="Y82" i="5"/>
  <c r="AB82" i="5" s="1"/>
  <c r="Y249" i="5"/>
  <c r="AB249" i="5" s="1"/>
  <c r="Y81" i="5"/>
  <c r="AB81" i="5" s="1"/>
  <c r="O34" i="32"/>
  <c r="Y247" i="5"/>
  <c r="AB247" i="5" s="1"/>
  <c r="H27" i="34"/>
  <c r="I10" i="20"/>
  <c r="Y324" i="5"/>
  <c r="AB324" i="5" s="1"/>
  <c r="O51" i="32"/>
  <c r="Y321" i="5"/>
  <c r="AB321" i="5" s="1"/>
  <c r="Y323" i="5"/>
  <c r="AB323" i="5" s="1"/>
  <c r="Y326" i="5"/>
  <c r="AB326" i="5" s="1"/>
  <c r="Y325" i="5"/>
  <c r="AB325" i="5" s="1"/>
  <c r="Y320" i="5"/>
  <c r="AB320" i="5" s="1"/>
  <c r="E30" i="34"/>
  <c r="Y85" i="5"/>
  <c r="AB85" i="5" s="1"/>
  <c r="Y240" i="5"/>
  <c r="AB240" i="5" s="1"/>
  <c r="Y242" i="5"/>
  <c r="AB242" i="5" s="1"/>
  <c r="I7" i="17"/>
  <c r="E34" i="34"/>
  <c r="I7" i="10"/>
  <c r="Y14" i="5"/>
  <c r="AB14" i="5" s="1"/>
  <c r="Y11" i="5"/>
  <c r="AB11" i="5" s="1"/>
  <c r="I10" i="8"/>
  <c r="Y84" i="5"/>
  <c r="AB84" i="5" s="1"/>
  <c r="Y243" i="5"/>
  <c r="AB243" i="5" s="1"/>
  <c r="Y248" i="5"/>
  <c r="AB248" i="5" s="1"/>
  <c r="Y245" i="5"/>
  <c r="AB245" i="5" s="1"/>
  <c r="Y9" i="5"/>
  <c r="AB9" i="5" s="1"/>
  <c r="O26" i="32"/>
  <c r="Y10" i="5"/>
  <c r="AB10" i="5" s="1"/>
  <c r="Y24" i="5"/>
  <c r="AB24" i="5" s="1"/>
  <c r="I6" i="16"/>
  <c r="Y30" i="5"/>
  <c r="AB30" i="5" s="1"/>
  <c r="N60" i="29"/>
  <c r="M60" i="29" s="1"/>
  <c r="J67" i="24" s="1"/>
  <c r="Y29" i="5"/>
  <c r="AB29" i="5" s="1"/>
  <c r="Y28" i="5"/>
  <c r="AB28" i="5" s="1"/>
  <c r="Y27" i="5"/>
  <c r="AB27" i="5" s="1"/>
  <c r="N87" i="29"/>
  <c r="M87" i="29" s="1"/>
  <c r="J94" i="24" s="1"/>
  <c r="H30" i="34"/>
  <c r="Y32" i="5"/>
  <c r="AB32" i="5" s="1"/>
  <c r="N88" i="29"/>
  <c r="M88" i="29" s="1"/>
  <c r="J95" i="24" s="1"/>
  <c r="Y16" i="5"/>
  <c r="AB16" i="5" s="1"/>
  <c r="N10" i="29"/>
  <c r="M10" i="29" s="1"/>
  <c r="J17" i="24" s="1"/>
  <c r="N94" i="29"/>
  <c r="M94" i="29" s="1"/>
  <c r="J101" i="24" s="1"/>
  <c r="N56" i="29"/>
  <c r="M56" i="29" s="1"/>
  <c r="J63" i="24" s="1"/>
  <c r="P41" i="29"/>
  <c r="L48" i="24" s="1"/>
  <c r="N41" i="29"/>
  <c r="M41" i="29" s="1"/>
  <c r="J48" i="24" s="1"/>
  <c r="Y3" i="5"/>
  <c r="AB3" i="5" s="1"/>
  <c r="Y2" i="5"/>
  <c r="AB2" i="5" s="1"/>
  <c r="E33" i="34"/>
  <c r="Y4" i="5"/>
  <c r="AB4" i="5" s="1"/>
  <c r="Y6" i="5"/>
  <c r="AB6" i="5" s="1"/>
  <c r="Y5" i="5"/>
  <c r="AB5" i="5" s="1"/>
  <c r="Y7" i="5"/>
  <c r="AB7" i="5" s="1"/>
  <c r="I6" i="10"/>
  <c r="O2" i="5"/>
  <c r="Y8" i="5"/>
  <c r="AB8" i="5" s="1"/>
  <c r="O25" i="32"/>
  <c r="H17" i="34"/>
  <c r="Y183" i="5"/>
  <c r="AB183" i="5" s="1"/>
  <c r="O31" i="5"/>
  <c r="Y185" i="5"/>
  <c r="AB185" i="5" s="1"/>
  <c r="I6" i="18"/>
  <c r="Y182" i="5"/>
  <c r="AB182" i="5" s="1"/>
  <c r="O38" i="32"/>
  <c r="Y186" i="5"/>
  <c r="AB186" i="5" s="1"/>
  <c r="Y184" i="5"/>
  <c r="AB184" i="5" s="1"/>
  <c r="Y187" i="5"/>
  <c r="AB187" i="5" s="1"/>
  <c r="Y298" i="5"/>
  <c r="AB298" i="5" s="1"/>
  <c r="O47" i="32"/>
  <c r="H23" i="34"/>
  <c r="O49" i="5"/>
  <c r="Y301" i="5"/>
  <c r="AB301" i="5" s="1"/>
  <c r="Y297" i="5"/>
  <c r="AB297" i="5" s="1"/>
  <c r="Y300" i="5"/>
  <c r="AB300" i="5" s="1"/>
  <c r="Y302" i="5"/>
  <c r="AB302" i="5" s="1"/>
  <c r="Y299" i="5"/>
  <c r="AB299" i="5" s="1"/>
  <c r="I6" i="20"/>
  <c r="N51" i="29"/>
  <c r="M51" i="29" s="1"/>
  <c r="J58" i="24" s="1"/>
  <c r="P51" i="29"/>
  <c r="L58" i="24" s="1"/>
  <c r="P97" i="29"/>
  <c r="L104" i="24" s="1"/>
  <c r="N97" i="29"/>
  <c r="M97" i="29" s="1"/>
  <c r="J104" i="24" s="1"/>
  <c r="P90" i="29"/>
  <c r="L97" i="24" s="1"/>
  <c r="N90" i="29"/>
  <c r="M90" i="29" s="1"/>
  <c r="J97" i="24" s="1"/>
  <c r="P93" i="29"/>
  <c r="L100" i="24" s="1"/>
  <c r="N93" i="29"/>
  <c r="M93" i="29" s="1"/>
  <c r="J100" i="24" s="1"/>
  <c r="P43" i="29"/>
  <c r="L50" i="24" s="1"/>
  <c r="N43" i="29"/>
  <c r="M43" i="29" s="1"/>
  <c r="J50" i="24" s="1"/>
  <c r="P44" i="29"/>
  <c r="L51" i="24" s="1"/>
  <c r="N44" i="29"/>
  <c r="M44" i="29" s="1"/>
  <c r="J51" i="24" s="1"/>
  <c r="P11" i="29"/>
  <c r="L18" i="24" s="1"/>
  <c r="N11" i="29"/>
  <c r="M11" i="29" s="1"/>
  <c r="J18" i="24" s="1"/>
  <c r="P67" i="29"/>
  <c r="L74" i="24" s="1"/>
  <c r="N67" i="29"/>
  <c r="M67" i="29" s="1"/>
  <c r="J74" i="24" s="1"/>
  <c r="P104" i="29"/>
  <c r="L111" i="24" s="1"/>
  <c r="N104" i="29"/>
  <c r="N109" i="29"/>
  <c r="M109" i="29" s="1"/>
  <c r="J116" i="24" s="1"/>
  <c r="N77" i="29"/>
  <c r="M77" i="29" s="1"/>
  <c r="J84" i="24" s="1"/>
  <c r="P77" i="29"/>
  <c r="L84" i="24" s="1"/>
  <c r="N54" i="29"/>
  <c r="M54" i="29" s="1"/>
  <c r="J61" i="24" s="1"/>
  <c r="P54" i="29"/>
  <c r="L61" i="24" s="1"/>
  <c r="N46" i="29"/>
  <c r="M46" i="29" s="1"/>
  <c r="J53" i="24" s="1"/>
  <c r="P46" i="29"/>
  <c r="L53" i="24" s="1"/>
  <c r="N20" i="29"/>
  <c r="M20" i="29" s="1"/>
  <c r="J27" i="24" s="1"/>
  <c r="N108" i="29"/>
  <c r="M108" i="29" s="1"/>
  <c r="J115" i="24" s="1"/>
  <c r="P58" i="29"/>
  <c r="L65" i="24" s="1"/>
  <c r="N58" i="29"/>
  <c r="M58" i="29" s="1"/>
  <c r="J65" i="24" s="1"/>
  <c r="P23" i="29"/>
  <c r="L30" i="24" s="1"/>
  <c r="N23" i="29"/>
  <c r="M23" i="29" s="1"/>
  <c r="J30" i="24" s="1"/>
  <c r="N106" i="29"/>
  <c r="M106" i="29" s="1"/>
  <c r="J113" i="24" s="1"/>
  <c r="P32" i="29"/>
  <c r="L39" i="24" s="1"/>
  <c r="N32" i="29"/>
  <c r="M32" i="29" s="1"/>
  <c r="J39" i="24" s="1"/>
  <c r="N30" i="29"/>
  <c r="M30" i="29" s="1"/>
  <c r="J37" i="24" s="1"/>
  <c r="N102" i="29"/>
  <c r="M102" i="29" s="1"/>
  <c r="J109" i="24" s="1"/>
  <c r="N66" i="29"/>
  <c r="M66" i="29" s="1"/>
  <c r="J73" i="24" s="1"/>
  <c r="P66" i="29"/>
  <c r="L73" i="24" s="1"/>
  <c r="N95" i="29"/>
  <c r="M95" i="29" s="1"/>
  <c r="J102" i="24" s="1"/>
  <c r="N96" i="29"/>
  <c r="M96" i="29" s="1"/>
  <c r="J103" i="24" s="1"/>
  <c r="N13" i="29"/>
  <c r="M13" i="29" s="1"/>
  <c r="J20" i="24" s="1"/>
  <c r="N25" i="29"/>
  <c r="M25" i="29" s="1"/>
  <c r="J32" i="24" s="1"/>
  <c r="N38" i="29"/>
  <c r="M38" i="29" s="1"/>
  <c r="J45" i="24" s="1"/>
  <c r="P38" i="29"/>
  <c r="L45" i="24" s="1"/>
  <c r="P89" i="29"/>
  <c r="L96" i="24" s="1"/>
  <c r="N89" i="29"/>
  <c r="M89" i="29" s="1"/>
  <c r="J96" i="24" s="1"/>
  <c r="N59" i="29"/>
  <c r="M59" i="29" s="1"/>
  <c r="J66" i="24" s="1"/>
  <c r="P59" i="29"/>
  <c r="L66" i="24" s="1"/>
  <c r="Y144" i="5"/>
  <c r="AB144" i="5" s="1"/>
  <c r="O59" i="32"/>
  <c r="Y145" i="5"/>
  <c r="AB145" i="5" s="1"/>
  <c r="Y143" i="5"/>
  <c r="AB143" i="5" s="1"/>
  <c r="I6" i="14"/>
  <c r="Y142" i="5"/>
  <c r="AB142" i="5" s="1"/>
  <c r="Y149" i="5"/>
  <c r="AB149" i="5" s="1"/>
  <c r="H37" i="34"/>
  <c r="O26" i="5"/>
  <c r="Y147" i="5"/>
  <c r="AB147" i="5" s="1"/>
  <c r="Y148" i="5"/>
  <c r="AB148" i="5" s="1"/>
  <c r="Y146" i="5"/>
  <c r="AB146" i="5" s="1"/>
  <c r="Y237" i="5"/>
  <c r="AB237" i="5" s="1"/>
  <c r="O40" i="5"/>
  <c r="H11" i="34"/>
  <c r="Y239" i="5"/>
  <c r="AB239" i="5" s="1"/>
  <c r="Y238" i="5"/>
  <c r="AB238" i="5" s="1"/>
  <c r="I6" i="17"/>
  <c r="Y236" i="5"/>
  <c r="AB236" i="5" s="1"/>
  <c r="O33" i="32"/>
  <c r="Y210" i="5"/>
  <c r="AB210" i="5" s="1"/>
  <c r="Y212" i="5"/>
  <c r="AB212" i="5" s="1"/>
  <c r="I9" i="18"/>
  <c r="Y213" i="5"/>
  <c r="AB213" i="5" s="1"/>
  <c r="Y208" i="5"/>
  <c r="AB208" i="5" s="1"/>
  <c r="Y211" i="5"/>
  <c r="AB211" i="5" s="1"/>
  <c r="Y207" i="5"/>
  <c r="AB207" i="5" s="1"/>
  <c r="O41" i="32"/>
  <c r="H20" i="34"/>
  <c r="Y209" i="5"/>
  <c r="AB209" i="5" s="1"/>
  <c r="E40" i="34"/>
  <c r="Y294" i="5"/>
  <c r="AB294" i="5" s="1"/>
  <c r="Y290" i="5"/>
  <c r="AB290" i="5" s="1"/>
  <c r="Y293" i="5"/>
  <c r="AB293" i="5" s="1"/>
  <c r="Y291" i="5"/>
  <c r="AB291" i="5" s="1"/>
  <c r="O31" i="32"/>
  <c r="Y292" i="5"/>
  <c r="AB292" i="5" s="1"/>
  <c r="Y295" i="5"/>
  <c r="AB295" i="5" s="1"/>
  <c r="Y296" i="5"/>
  <c r="AB296" i="5" s="1"/>
  <c r="I8" i="21"/>
  <c r="O30" i="32"/>
  <c r="Y289" i="5"/>
  <c r="AB289" i="5" s="1"/>
  <c r="Y283" i="5"/>
  <c r="AB283" i="5" s="1"/>
  <c r="Y285" i="5"/>
  <c r="AB285" i="5" s="1"/>
  <c r="E39" i="34"/>
  <c r="Y284" i="5"/>
  <c r="AB284" i="5" s="1"/>
  <c r="Y279" i="5"/>
  <c r="AB279" i="5" s="1"/>
  <c r="Y277" i="5"/>
  <c r="AB277" i="5" s="1"/>
  <c r="Y288" i="5"/>
  <c r="AB288" i="5" s="1"/>
  <c r="Y287" i="5"/>
  <c r="AB287" i="5" s="1"/>
  <c r="Y278" i="5"/>
  <c r="AB278" i="5" s="1"/>
  <c r="Y280" i="5"/>
  <c r="AB280" i="5" s="1"/>
  <c r="Y282" i="5"/>
  <c r="AB282" i="5" s="1"/>
  <c r="Y281" i="5"/>
  <c r="AB281" i="5" s="1"/>
  <c r="I7" i="21"/>
  <c r="Y286" i="5"/>
  <c r="AB286" i="5" s="1"/>
  <c r="E29" i="34"/>
  <c r="O22" i="32"/>
  <c r="Y74" i="5"/>
  <c r="AB74" i="5" s="1"/>
  <c r="I9" i="8"/>
  <c r="Y77" i="5"/>
  <c r="AB77" i="5" s="1"/>
  <c r="Y75" i="5"/>
  <c r="AB75" i="5" s="1"/>
  <c r="Y79" i="5"/>
  <c r="AB79" i="5" s="1"/>
  <c r="Y78" i="5"/>
  <c r="AB78" i="5" s="1"/>
  <c r="Y76" i="5"/>
  <c r="AB76" i="5" s="1"/>
  <c r="Y154" i="5"/>
  <c r="AB154" i="5" s="1"/>
  <c r="Y160" i="5"/>
  <c r="AB160" i="5" s="1"/>
  <c r="I7" i="14"/>
  <c r="Y159" i="5"/>
  <c r="AB159" i="5" s="1"/>
  <c r="Y158" i="5"/>
  <c r="AB158" i="5" s="1"/>
  <c r="Y156" i="5"/>
  <c r="AB156" i="5" s="1"/>
  <c r="Y161" i="5"/>
  <c r="AB161" i="5" s="1"/>
  <c r="Y157" i="5"/>
  <c r="AB157" i="5" s="1"/>
  <c r="Y152" i="5"/>
  <c r="AB152" i="5" s="1"/>
  <c r="Y151" i="5"/>
  <c r="AB151" i="5" s="1"/>
  <c r="Y150" i="5"/>
  <c r="AB150" i="5" s="1"/>
  <c r="H38" i="34"/>
  <c r="Y153" i="5"/>
  <c r="AB153" i="5" s="1"/>
  <c r="Y155" i="5"/>
  <c r="AB155" i="5" s="1"/>
  <c r="O60" i="32"/>
  <c r="Y308" i="5"/>
  <c r="AB308" i="5" s="1"/>
  <c r="Y307" i="5"/>
  <c r="AB307" i="5" s="1"/>
  <c r="Y303" i="5"/>
  <c r="AB303" i="5" s="1"/>
  <c r="Y306" i="5"/>
  <c r="AB306" i="5" s="1"/>
  <c r="H24" i="34"/>
  <c r="I7" i="20"/>
  <c r="O48" i="32"/>
  <c r="Y304" i="5"/>
  <c r="AB304" i="5" s="1"/>
  <c r="Y305" i="5"/>
  <c r="AB305" i="5" s="1"/>
  <c r="H19" i="34"/>
  <c r="Y203" i="5"/>
  <c r="AB203" i="5" s="1"/>
  <c r="Y200" i="5"/>
  <c r="AB200" i="5" s="1"/>
  <c r="Y197" i="5"/>
  <c r="AB197" i="5" s="1"/>
  <c r="I8" i="18"/>
  <c r="O40" i="32"/>
  <c r="Y205" i="5"/>
  <c r="AB205" i="5" s="1"/>
  <c r="Y206" i="5"/>
  <c r="AB206" i="5" s="1"/>
  <c r="Y201" i="5"/>
  <c r="AB201" i="5" s="1"/>
  <c r="Y204" i="5"/>
  <c r="AB204" i="5" s="1"/>
  <c r="Y199" i="5"/>
  <c r="AB199" i="5" s="1"/>
  <c r="Y202" i="5"/>
  <c r="AB202" i="5" s="1"/>
  <c r="Y198" i="5"/>
  <c r="AB198" i="5" s="1"/>
  <c r="Y319" i="5"/>
  <c r="AB319" i="5" s="1"/>
  <c r="O50" i="32"/>
  <c r="H26" i="34"/>
  <c r="Y315" i="5"/>
  <c r="AB315" i="5" s="1"/>
  <c r="I9" i="20"/>
  <c r="Y318" i="5"/>
  <c r="AB318" i="5" s="1"/>
  <c r="Y316" i="5"/>
  <c r="AB316" i="5" s="1"/>
  <c r="Y317" i="5"/>
  <c r="AB317" i="5" s="1"/>
  <c r="N65" i="29"/>
  <c r="M65" i="29" s="1"/>
  <c r="J72" i="24" s="1"/>
  <c r="P65" i="29"/>
  <c r="L72" i="24" s="1"/>
  <c r="P8" i="29"/>
  <c r="L15" i="24" s="1"/>
  <c r="N8" i="29"/>
  <c r="M8" i="29" s="1"/>
  <c r="J15" i="24" s="1"/>
  <c r="P31" i="29"/>
  <c r="L38" i="24" s="1"/>
  <c r="N31" i="29"/>
  <c r="N101" i="29"/>
  <c r="M101" i="29" s="1"/>
  <c r="J108" i="24" s="1"/>
  <c r="P101" i="29"/>
  <c r="L108" i="24" s="1"/>
  <c r="N12" i="29"/>
  <c r="M12" i="29" s="1"/>
  <c r="J19" i="24" s="1"/>
  <c r="P12" i="29"/>
  <c r="L19" i="24" s="1"/>
  <c r="N26" i="29"/>
  <c r="M26" i="29" s="1"/>
  <c r="J33" i="24" s="1"/>
  <c r="P26" i="29"/>
  <c r="L33" i="24" s="1"/>
  <c r="P19" i="29"/>
  <c r="L26" i="24" s="1"/>
  <c r="N19" i="29"/>
  <c r="M19" i="29" s="1"/>
  <c r="J26" i="24" s="1"/>
  <c r="N70" i="29"/>
  <c r="P70" i="29"/>
  <c r="L77" i="24" s="1"/>
  <c r="P69" i="29"/>
  <c r="L76" i="24" s="1"/>
  <c r="N69" i="29"/>
  <c r="M69" i="29" s="1"/>
  <c r="J76" i="24" s="1"/>
  <c r="N16" i="29"/>
  <c r="M16" i="29" s="1"/>
  <c r="J23" i="24" s="1"/>
  <c r="P16" i="29"/>
  <c r="L23" i="24" s="1"/>
  <c r="N21" i="29"/>
  <c r="M21" i="29" s="1"/>
  <c r="J28" i="24" s="1"/>
  <c r="N98" i="29"/>
  <c r="M98" i="29" s="1"/>
  <c r="J105" i="24" s="1"/>
  <c r="P98" i="29"/>
  <c r="L105" i="24" s="1"/>
  <c r="N42" i="29"/>
  <c r="M42" i="29" s="1"/>
  <c r="J49" i="24" s="1"/>
  <c r="P42" i="29"/>
  <c r="L49" i="24" s="1"/>
  <c r="N3" i="29"/>
  <c r="M3" i="29" s="1"/>
  <c r="J10" i="24" s="1"/>
  <c r="P3" i="29"/>
  <c r="L10" i="24" s="1"/>
  <c r="N15" i="29"/>
  <c r="M15" i="29" s="1"/>
  <c r="J22" i="24" s="1"/>
  <c r="N86" i="29"/>
  <c r="M86" i="29" s="1"/>
  <c r="J93" i="24" s="1"/>
  <c r="P86" i="29"/>
  <c r="L93" i="24" s="1"/>
  <c r="N7" i="29"/>
  <c r="M7" i="29" s="1"/>
  <c r="J14" i="24" s="1"/>
  <c r="P7" i="29"/>
  <c r="L14" i="24" s="1"/>
  <c r="N78" i="29"/>
  <c r="M78" i="29" s="1"/>
  <c r="J85" i="24" s="1"/>
  <c r="P78" i="29"/>
  <c r="L85" i="24" s="1"/>
  <c r="N80" i="29"/>
  <c r="M80" i="29" s="1"/>
  <c r="J87" i="24" s="1"/>
  <c r="P80" i="29"/>
  <c r="L87" i="24" s="1"/>
  <c r="P5" i="29"/>
  <c r="L12" i="24" s="1"/>
  <c r="N5" i="29"/>
  <c r="M5" i="29" s="1"/>
  <c r="J12" i="24" s="1"/>
  <c r="P33" i="29"/>
  <c r="L40" i="24" s="1"/>
  <c r="N33" i="29"/>
  <c r="M33" i="29" s="1"/>
  <c r="J40" i="24" s="1"/>
  <c r="N24" i="29"/>
  <c r="M24" i="29" s="1"/>
  <c r="J31" i="24" s="1"/>
  <c r="P9" i="29"/>
  <c r="L16" i="24" s="1"/>
  <c r="N9" i="29"/>
  <c r="M9" i="29" s="1"/>
  <c r="J16" i="24" s="1"/>
  <c r="N72" i="29"/>
  <c r="M72" i="29" s="1"/>
  <c r="J79" i="24" s="1"/>
  <c r="N48" i="29"/>
  <c r="M48" i="29" s="1"/>
  <c r="J55" i="24" s="1"/>
  <c r="N34" i="29"/>
  <c r="M34" i="29" s="1"/>
  <c r="J41" i="24" s="1"/>
  <c r="N107" i="29"/>
  <c r="M107" i="29" s="1"/>
  <c r="J114" i="24" s="1"/>
  <c r="N22" i="29"/>
  <c r="M22" i="29" s="1"/>
  <c r="J29" i="24" s="1"/>
  <c r="N100" i="29"/>
  <c r="M100" i="29" s="1"/>
  <c r="J107" i="24" s="1"/>
  <c r="P100" i="29"/>
  <c r="L107" i="24" s="1"/>
  <c r="Y175" i="5"/>
  <c r="AB175" i="5" s="1"/>
  <c r="Y176" i="5"/>
  <c r="AB176" i="5" s="1"/>
  <c r="Y179" i="5"/>
  <c r="AB179" i="5" s="1"/>
  <c r="H40" i="34"/>
  <c r="Y177" i="5"/>
  <c r="AB177" i="5" s="1"/>
  <c r="I9" i="14"/>
  <c r="Y180" i="5"/>
  <c r="AB180" i="5" s="1"/>
  <c r="O62" i="32"/>
  <c r="Y178" i="5"/>
  <c r="AB178" i="5" s="1"/>
  <c r="Y188" i="5"/>
  <c r="AB188" i="5" s="1"/>
  <c r="Y196" i="5"/>
  <c r="AB196" i="5" s="1"/>
  <c r="O39" i="32"/>
  <c r="Y189" i="5"/>
  <c r="AB189" i="5" s="1"/>
  <c r="Y191" i="5"/>
  <c r="AB191" i="5" s="1"/>
  <c r="Y192" i="5"/>
  <c r="AB192" i="5" s="1"/>
  <c r="Y190" i="5"/>
  <c r="AB190" i="5" s="1"/>
  <c r="I7" i="18"/>
  <c r="H18" i="34"/>
  <c r="Y195" i="5"/>
  <c r="AB195" i="5" s="1"/>
  <c r="Y194" i="5"/>
  <c r="AB194" i="5" s="1"/>
  <c r="Y193" i="5"/>
  <c r="AB193" i="5" s="1"/>
  <c r="Y45" i="5"/>
  <c r="AB45" i="5" s="1"/>
  <c r="Y46" i="5"/>
  <c r="AB46" i="5" s="1"/>
  <c r="I9" i="16"/>
  <c r="O56" i="32"/>
  <c r="Y48" i="5"/>
  <c r="AB48" i="5" s="1"/>
  <c r="Y41" i="5"/>
  <c r="AB41" i="5" s="1"/>
  <c r="Y44" i="5"/>
  <c r="AB44" i="5" s="1"/>
  <c r="Y40" i="5"/>
  <c r="AB40" i="5" s="1"/>
  <c r="H33" i="34"/>
  <c r="Y47" i="5"/>
  <c r="AB47" i="5" s="1"/>
  <c r="Y43" i="5"/>
  <c r="AB43" i="5" s="1"/>
  <c r="Y42" i="5"/>
  <c r="AB42" i="5" s="1"/>
  <c r="Y17" i="5"/>
  <c r="AB17" i="5" s="1"/>
  <c r="E35" i="34"/>
  <c r="Y20" i="5"/>
  <c r="AB20" i="5" s="1"/>
  <c r="Y18" i="5"/>
  <c r="AB18" i="5" s="1"/>
  <c r="Y21" i="5"/>
  <c r="AB21" i="5" s="1"/>
  <c r="Y19" i="5"/>
  <c r="AB19" i="5" s="1"/>
  <c r="I8" i="10"/>
  <c r="O27" i="32"/>
  <c r="Y22" i="5"/>
  <c r="AB22" i="5" s="1"/>
  <c r="Y23" i="5"/>
  <c r="AB23" i="5" s="1"/>
  <c r="E22" i="34"/>
  <c r="Y127" i="5"/>
  <c r="AB127" i="5" s="1"/>
  <c r="O44" i="32"/>
  <c r="Y134" i="5"/>
  <c r="AB134" i="5" s="1"/>
  <c r="Y121" i="5"/>
  <c r="AB121" i="5" s="1"/>
  <c r="Y124" i="5"/>
  <c r="AB124" i="5" s="1"/>
  <c r="Y126" i="5"/>
  <c r="AB126" i="5" s="1"/>
  <c r="Y131" i="5"/>
  <c r="AB131" i="5" s="1"/>
  <c r="I7" i="19"/>
  <c r="Y128" i="5"/>
  <c r="AB128" i="5" s="1"/>
  <c r="Y133" i="5"/>
  <c r="AB133" i="5" s="1"/>
  <c r="Y132" i="5"/>
  <c r="AB132" i="5" s="1"/>
  <c r="Y123" i="5"/>
  <c r="AB123" i="5" s="1"/>
  <c r="Y130" i="5"/>
  <c r="AB130" i="5" s="1"/>
  <c r="Y125" i="5"/>
  <c r="AB125" i="5" s="1"/>
  <c r="Y129" i="5"/>
  <c r="AB129" i="5" s="1"/>
  <c r="Y122" i="5"/>
  <c r="AB122" i="5" s="1"/>
  <c r="P6" i="29"/>
  <c r="L13" i="24" s="1"/>
  <c r="N6" i="29"/>
  <c r="M6" i="29" s="1"/>
  <c r="J13" i="24" s="1"/>
  <c r="O12" i="5"/>
  <c r="H32" i="34"/>
  <c r="Y36" i="5"/>
  <c r="AB36" i="5" s="1"/>
  <c r="I8" i="16"/>
  <c r="O55" i="32"/>
  <c r="Y39" i="5"/>
  <c r="AB39" i="5" s="1"/>
  <c r="Y37" i="5"/>
  <c r="AB37" i="5" s="1"/>
  <c r="Y38" i="5"/>
  <c r="AB38" i="5" s="1"/>
  <c r="O42" i="32"/>
  <c r="E20" i="34"/>
  <c r="S5" i="5"/>
  <c r="J7" i="19"/>
  <c r="Y136" i="5"/>
  <c r="AB136" i="5" s="1"/>
  <c r="E23" i="34"/>
  <c r="Y135" i="5"/>
  <c r="AB135" i="5" s="1"/>
  <c r="Y137" i="5"/>
  <c r="AB137" i="5" s="1"/>
  <c r="Y139" i="5"/>
  <c r="AB139" i="5" s="1"/>
  <c r="Y140" i="5"/>
  <c r="AB140" i="5" s="1"/>
  <c r="Y141" i="5"/>
  <c r="AB141" i="5" s="1"/>
  <c r="O45" i="32"/>
  <c r="Y138" i="5"/>
  <c r="AB138" i="5" s="1"/>
  <c r="I8" i="19"/>
  <c r="P45" i="29"/>
  <c r="L52" i="24" s="1"/>
  <c r="N45" i="29"/>
  <c r="M45" i="29" s="1"/>
  <c r="J52" i="24" s="1"/>
  <c r="N99" i="29"/>
  <c r="M99" i="29" s="1"/>
  <c r="J106" i="24" s="1"/>
  <c r="P99" i="29"/>
  <c r="L106" i="24" s="1"/>
  <c r="N47" i="29"/>
  <c r="M47" i="29" s="1"/>
  <c r="J54" i="24" s="1"/>
  <c r="P47" i="29"/>
  <c r="L54" i="24" s="1"/>
  <c r="N35" i="29"/>
  <c r="M35" i="29" s="1"/>
  <c r="J42" i="24" s="1"/>
  <c r="P35" i="29"/>
  <c r="L42" i="24" s="1"/>
  <c r="P74" i="29"/>
  <c r="L81" i="24" s="1"/>
  <c r="N74" i="29"/>
  <c r="M74" i="29" s="1"/>
  <c r="J81" i="24" s="1"/>
  <c r="N105" i="29"/>
  <c r="M105" i="29" s="1"/>
  <c r="J112" i="24" s="1"/>
  <c r="N73" i="29"/>
  <c r="M73" i="29" s="1"/>
  <c r="J80" i="24" s="1"/>
  <c r="P73" i="29"/>
  <c r="L80" i="24" s="1"/>
  <c r="P83" i="29"/>
  <c r="L90" i="24" s="1"/>
  <c r="N83" i="29"/>
  <c r="M83" i="29" s="1"/>
  <c r="J90" i="24" s="1"/>
  <c r="N49" i="29"/>
  <c r="M49" i="29" s="1"/>
  <c r="J56" i="24" s="1"/>
  <c r="P40" i="29"/>
  <c r="L47" i="24" s="1"/>
  <c r="N40" i="29"/>
  <c r="M40" i="29" s="1"/>
  <c r="J47" i="24" s="1"/>
  <c r="N27" i="29"/>
  <c r="M27" i="29" s="1"/>
  <c r="J34" i="24" s="1"/>
  <c r="P27" i="29"/>
  <c r="L34" i="24" s="1"/>
  <c r="N37" i="29"/>
  <c r="M37" i="29" s="1"/>
  <c r="J44" i="24" s="1"/>
  <c r="P37" i="29"/>
  <c r="L44" i="24" s="1"/>
  <c r="N29" i="29"/>
  <c r="M29" i="29" s="1"/>
  <c r="J36" i="24" s="1"/>
  <c r="N36" i="29"/>
  <c r="M36" i="29" s="1"/>
  <c r="J43" i="24" s="1"/>
  <c r="N39" i="29"/>
  <c r="M39" i="29" s="1"/>
  <c r="J46" i="24" s="1"/>
  <c r="P39" i="29"/>
  <c r="L46" i="24" s="1"/>
  <c r="P76" i="29"/>
  <c r="L83" i="24" s="1"/>
  <c r="N76" i="29"/>
  <c r="M76" i="29" s="1"/>
  <c r="J83" i="24" s="1"/>
  <c r="P82" i="29"/>
  <c r="L89" i="24" s="1"/>
  <c r="N82" i="29"/>
  <c r="M82" i="29" s="1"/>
  <c r="J89" i="24" s="1"/>
  <c r="N18" i="29"/>
  <c r="M18" i="29" s="1"/>
  <c r="J25" i="24" s="1"/>
  <c r="P18" i="29"/>
  <c r="L25" i="24" s="1"/>
  <c r="N81" i="29"/>
  <c r="M81" i="29" s="1"/>
  <c r="J88" i="24" s="1"/>
  <c r="P81" i="29"/>
  <c r="L88" i="24" s="1"/>
  <c r="N85" i="29"/>
  <c r="M85" i="29" s="1"/>
  <c r="J92" i="24" s="1"/>
  <c r="N68" i="29"/>
  <c r="M68" i="29" s="1"/>
  <c r="J75" i="24" s="1"/>
  <c r="P68" i="29"/>
  <c r="L75" i="24" s="1"/>
  <c r="N14" i="29"/>
  <c r="M14" i="29" s="1"/>
  <c r="J21" i="24" s="1"/>
  <c r="P14" i="29"/>
  <c r="L21" i="24" s="1"/>
  <c r="N62" i="29"/>
  <c r="M62" i="29" s="1"/>
  <c r="J69" i="24" s="1"/>
  <c r="N50" i="29"/>
  <c r="O36" i="32"/>
  <c r="Y263" i="5"/>
  <c r="AB263" i="5" s="1"/>
  <c r="H14" i="34"/>
  <c r="Y262" i="5"/>
  <c r="AB262" i="5" s="1"/>
  <c r="Y258" i="5"/>
  <c r="AB258" i="5" s="1"/>
  <c r="Y261" i="5"/>
  <c r="AB261" i="5" s="1"/>
  <c r="Y259" i="5"/>
  <c r="AB259" i="5" s="1"/>
  <c r="Y264" i="5"/>
  <c r="AB264" i="5" s="1"/>
  <c r="Y260" i="5"/>
  <c r="AB260" i="5" s="1"/>
  <c r="I9" i="17"/>
  <c r="Y169" i="5"/>
  <c r="AB169" i="5" s="1"/>
  <c r="Y167" i="5"/>
  <c r="AB167" i="5" s="1"/>
  <c r="O61" i="32"/>
  <c r="Y162" i="5"/>
  <c r="AB162" i="5" s="1"/>
  <c r="Y166" i="5"/>
  <c r="AB166" i="5" s="1"/>
  <c r="Y173" i="5"/>
  <c r="AB173" i="5" s="1"/>
  <c r="Y168" i="5"/>
  <c r="AB168" i="5" s="1"/>
  <c r="Y172" i="5"/>
  <c r="AB172" i="5" s="1"/>
  <c r="Y164" i="5"/>
  <c r="AB164" i="5" s="1"/>
  <c r="Y171" i="5"/>
  <c r="AB171" i="5" s="1"/>
  <c r="Y165" i="5"/>
  <c r="AB165" i="5" s="1"/>
  <c r="Y163" i="5"/>
  <c r="AB163" i="5" s="1"/>
  <c r="H39" i="34"/>
  <c r="I8" i="14"/>
  <c r="Y174" i="5"/>
  <c r="AB174" i="5" s="1"/>
  <c r="Y170" i="5"/>
  <c r="AB170" i="5" s="1"/>
  <c r="O20" i="32"/>
  <c r="I7" i="8"/>
  <c r="Y66" i="5"/>
  <c r="AB66" i="5" s="1"/>
  <c r="Y62" i="5"/>
  <c r="AB62" i="5" s="1"/>
  <c r="Y65" i="5"/>
  <c r="AB65" i="5" s="1"/>
  <c r="E27" i="34"/>
  <c r="Y64" i="5"/>
  <c r="AB64" i="5" s="1"/>
  <c r="Y67" i="5"/>
  <c r="AB67" i="5" s="1"/>
  <c r="Y63" i="5"/>
  <c r="AB63" i="5" s="1"/>
  <c r="Y223" i="5"/>
  <c r="AB223" i="5" s="1"/>
  <c r="Y217" i="5"/>
  <c r="AB217" i="5" s="1"/>
  <c r="Y215" i="5"/>
  <c r="AB215" i="5" s="1"/>
  <c r="Y214" i="5"/>
  <c r="AB214" i="5" s="1"/>
  <c r="Y219" i="5"/>
  <c r="AB219" i="5" s="1"/>
  <c r="Y220" i="5"/>
  <c r="AB220" i="5" s="1"/>
  <c r="E16" i="34"/>
  <c r="Y218" i="5"/>
  <c r="AB218" i="5" s="1"/>
  <c r="O36" i="5"/>
  <c r="Y221" i="5"/>
  <c r="AB221" i="5" s="1"/>
  <c r="Y222" i="5"/>
  <c r="AB222" i="5" s="1"/>
  <c r="O15" i="32"/>
  <c r="I6" i="1"/>
  <c r="Y216" i="5"/>
  <c r="AB216" i="5" s="1"/>
  <c r="N17" i="29"/>
  <c r="M17" i="29" s="1"/>
  <c r="J24" i="24" s="1"/>
  <c r="P17" i="29"/>
  <c r="L24" i="24" s="1"/>
  <c r="P28" i="29"/>
  <c r="L35" i="24" s="1"/>
  <c r="N28" i="29"/>
  <c r="M28" i="29" s="1"/>
  <c r="J35" i="24" s="1"/>
  <c r="N57" i="29"/>
  <c r="M57" i="29" s="1"/>
  <c r="J64" i="24" s="1"/>
  <c r="N63" i="29"/>
  <c r="M63" i="29" s="1"/>
  <c r="J70" i="24" s="1"/>
  <c r="P63" i="29"/>
  <c r="L70" i="24" s="1"/>
  <c r="P61" i="29"/>
  <c r="L68" i="24" s="1"/>
  <c r="N61" i="29"/>
  <c r="M61" i="29" s="1"/>
  <c r="J68" i="24" s="1"/>
  <c r="N52" i="29"/>
  <c r="M52" i="29" s="1"/>
  <c r="J59" i="24" s="1"/>
  <c r="N91" i="29"/>
  <c r="M91" i="29" s="1"/>
  <c r="J98" i="24" s="1"/>
  <c r="N4" i="29"/>
  <c r="M4" i="29" s="1"/>
  <c r="J11" i="24" s="1"/>
  <c r="P64" i="29"/>
  <c r="L71" i="24" s="1"/>
  <c r="N64" i="29"/>
  <c r="M64" i="29" s="1"/>
  <c r="J71" i="24" s="1"/>
  <c r="P75" i="29"/>
  <c r="L82" i="24" s="1"/>
  <c r="N75" i="29"/>
  <c r="M75" i="29" s="1"/>
  <c r="J82" i="24" s="1"/>
  <c r="N2" i="29"/>
  <c r="P2" i="29"/>
  <c r="L9" i="24" s="1"/>
  <c r="N53" i="29"/>
  <c r="M53" i="29" s="1"/>
  <c r="J60" i="24" s="1"/>
  <c r="P53" i="29"/>
  <c r="L60" i="24" s="1"/>
  <c r="N92" i="29"/>
  <c r="M92" i="29" s="1"/>
  <c r="J99" i="24" s="1"/>
  <c r="N55" i="29"/>
  <c r="M55" i="29" s="1"/>
  <c r="J62" i="24" s="1"/>
  <c r="N79" i="29"/>
  <c r="M79" i="29" s="1"/>
  <c r="J86" i="24" s="1"/>
  <c r="P79" i="29"/>
  <c r="L86" i="24" s="1"/>
  <c r="I7" i="16"/>
  <c r="O54" i="32"/>
  <c r="Y35" i="5"/>
  <c r="AB35" i="5" s="1"/>
  <c r="Y33" i="5"/>
  <c r="AB33" i="5" s="1"/>
  <c r="H31" i="34"/>
  <c r="Y34" i="5"/>
  <c r="AB34" i="5" s="1"/>
  <c r="O6" i="5"/>
  <c r="O45" i="5"/>
  <c r="Y271" i="5"/>
  <c r="AB271" i="5" s="1"/>
  <c r="Y268" i="5"/>
  <c r="AB268" i="5" s="1"/>
  <c r="Y272" i="5"/>
  <c r="AB272" i="5" s="1"/>
  <c r="Y273" i="5"/>
  <c r="AB273" i="5" s="1"/>
  <c r="Y266" i="5"/>
  <c r="AB266" i="5" s="1"/>
  <c r="Y276" i="5"/>
  <c r="AB276" i="5" s="1"/>
  <c r="Y269" i="5"/>
  <c r="AB269" i="5" s="1"/>
  <c r="Y274" i="5"/>
  <c r="AB274" i="5" s="1"/>
  <c r="Y270" i="5"/>
  <c r="AB270" i="5" s="1"/>
  <c r="Y267" i="5"/>
  <c r="AB267" i="5" s="1"/>
  <c r="Y265" i="5"/>
  <c r="AB265" i="5" s="1"/>
  <c r="E38" i="34"/>
  <c r="Y275" i="5"/>
  <c r="AB275" i="5" s="1"/>
  <c r="I6" i="21"/>
  <c r="O29" i="32"/>
  <c r="W9" i="5" l="1"/>
  <c r="W11" i="5"/>
  <c r="W17" i="5"/>
  <c r="W265" i="5"/>
  <c r="W31" i="5"/>
  <c r="W13" i="5"/>
  <c r="W33" i="5"/>
  <c r="W14" i="5"/>
  <c r="W16" i="5"/>
  <c r="W26" i="5"/>
  <c r="W15" i="5"/>
  <c r="W12" i="5"/>
  <c r="W25" i="5"/>
  <c r="W323" i="5"/>
  <c r="W10" i="5"/>
  <c r="W32" i="5"/>
  <c r="W3" i="5"/>
  <c r="W18" i="5"/>
  <c r="W23" i="5"/>
  <c r="W83" i="5"/>
  <c r="W49" i="5"/>
  <c r="W7" i="5"/>
  <c r="W231" i="5"/>
  <c r="W5" i="5"/>
  <c r="W269" i="5"/>
  <c r="W34" i="5"/>
  <c r="W6" i="5"/>
  <c r="W214" i="5"/>
  <c r="W65" i="5"/>
  <c r="W264" i="5"/>
  <c r="W137" i="5"/>
  <c r="W275" i="5"/>
  <c r="W271" i="5"/>
  <c r="W224" i="5"/>
  <c r="AC3" i="29"/>
  <c r="G10" i="23" s="1"/>
  <c r="H10" i="23" s="1"/>
  <c r="I10" i="23" s="1"/>
  <c r="M2" i="29"/>
  <c r="J9" i="24" s="1"/>
  <c r="W216" i="5"/>
  <c r="W221" i="5"/>
  <c r="W220" i="5"/>
  <c r="W217" i="5"/>
  <c r="W248" i="5"/>
  <c r="W64" i="5"/>
  <c r="W66" i="5"/>
  <c r="W235" i="5"/>
  <c r="W170" i="5"/>
  <c r="W163" i="5"/>
  <c r="W172" i="5"/>
  <c r="W162" i="5"/>
  <c r="W261" i="5"/>
  <c r="W263" i="5"/>
  <c r="W252" i="5"/>
  <c r="W140" i="5"/>
  <c r="W39" i="5"/>
  <c r="W314" i="5"/>
  <c r="W249" i="5"/>
  <c r="W130" i="5"/>
  <c r="W128" i="5"/>
  <c r="W124" i="5"/>
  <c r="W127" i="5"/>
  <c r="W232" i="5"/>
  <c r="W48" i="5"/>
  <c r="W45" i="5"/>
  <c r="W193" i="5"/>
  <c r="W189" i="5"/>
  <c r="W178" i="5"/>
  <c r="W177" i="5"/>
  <c r="W175" i="5"/>
  <c r="M31" i="29"/>
  <c r="J38" i="24" s="1"/>
  <c r="AC4" i="29"/>
  <c r="G12" i="23" s="1"/>
  <c r="H12" i="23" s="1"/>
  <c r="I12" i="23" s="1"/>
  <c r="W55" i="5"/>
  <c r="W319" i="5"/>
  <c r="W204" i="5"/>
  <c r="W203" i="5"/>
  <c r="W305" i="5"/>
  <c r="W308" i="5"/>
  <c r="W157" i="5"/>
  <c r="W159" i="5"/>
  <c r="W59" i="5"/>
  <c r="W76" i="5"/>
  <c r="W77" i="5"/>
  <c r="W282" i="5"/>
  <c r="W288" i="5"/>
  <c r="W325" i="5"/>
  <c r="W296" i="5"/>
  <c r="W291" i="5"/>
  <c r="W207" i="5"/>
  <c r="W234" i="5"/>
  <c r="W238" i="5"/>
  <c r="W237" i="5"/>
  <c r="W148" i="5"/>
  <c r="W149" i="5"/>
  <c r="W145" i="5"/>
  <c r="W227" i="5"/>
  <c r="W53" i="5"/>
  <c r="W300" i="5"/>
  <c r="W120" i="5"/>
  <c r="W186" i="5"/>
  <c r="W185" i="5"/>
  <c r="W56" i="5"/>
  <c r="W218" i="5"/>
  <c r="W63" i="5"/>
  <c r="W173" i="5"/>
  <c r="W167" i="5"/>
  <c r="W82" i="5"/>
  <c r="W242" i="5"/>
  <c r="W270" i="5"/>
  <c r="W266" i="5"/>
  <c r="W86" i="5"/>
  <c r="W326" i="5"/>
  <c r="W240" i="5"/>
  <c r="W274" i="5"/>
  <c r="W273" i="5"/>
  <c r="E37" i="34"/>
  <c r="O28" i="32"/>
  <c r="J7" i="21"/>
  <c r="S8" i="5"/>
  <c r="H29" i="34"/>
  <c r="O52" i="32"/>
  <c r="J7" i="16"/>
  <c r="S12" i="5"/>
  <c r="W35" i="5"/>
  <c r="W80" i="5"/>
  <c r="W251" i="5"/>
  <c r="O14" i="32"/>
  <c r="J7" i="1"/>
  <c r="E15" i="34"/>
  <c r="S4" i="5"/>
  <c r="W219" i="5"/>
  <c r="W223" i="5"/>
  <c r="W324" i="5"/>
  <c r="W243" i="5"/>
  <c r="W230" i="5"/>
  <c r="W174" i="5"/>
  <c r="W165" i="5"/>
  <c r="W168" i="5"/>
  <c r="W260" i="5"/>
  <c r="W258" i="5"/>
  <c r="AC6" i="29"/>
  <c r="G16" i="23" s="1"/>
  <c r="H16" i="23" s="1"/>
  <c r="I16" i="23" s="1"/>
  <c r="W250" i="5"/>
  <c r="W138" i="5"/>
  <c r="W139" i="5"/>
  <c r="W136" i="5"/>
  <c r="W57" i="5"/>
  <c r="W71" i="5"/>
  <c r="W122" i="5"/>
  <c r="W123" i="5"/>
  <c r="W121" i="5"/>
  <c r="W20" i="5"/>
  <c r="W42" i="5"/>
  <c r="W40" i="5"/>
  <c r="W27" i="5"/>
  <c r="W194" i="5"/>
  <c r="W190" i="5"/>
  <c r="W85" i="5"/>
  <c r="W317" i="5"/>
  <c r="W315" i="5"/>
  <c r="W198" i="5"/>
  <c r="W201" i="5"/>
  <c r="W304" i="5"/>
  <c r="W306" i="5"/>
  <c r="W150" i="5"/>
  <c r="W161" i="5"/>
  <c r="W58" i="5"/>
  <c r="W78" i="5"/>
  <c r="W286" i="5"/>
  <c r="W280" i="5"/>
  <c r="W277" i="5"/>
  <c r="W285" i="5"/>
  <c r="W60" i="5"/>
  <c r="W244" i="5"/>
  <c r="W295" i="5"/>
  <c r="W293" i="5"/>
  <c r="W209" i="5"/>
  <c r="W211" i="5"/>
  <c r="W212" i="5"/>
  <c r="W239" i="5"/>
  <c r="W30" i="5"/>
  <c r="W147" i="5"/>
  <c r="W142" i="5"/>
  <c r="W253" i="5"/>
  <c r="W297" i="5"/>
  <c r="W117" i="5"/>
  <c r="H16" i="34"/>
  <c r="S10" i="5"/>
  <c r="O37" i="32"/>
  <c r="J7" i="18"/>
  <c r="W8" i="5"/>
  <c r="W2" i="5"/>
  <c r="W96" i="5"/>
  <c r="W95" i="5"/>
  <c r="W106" i="5"/>
  <c r="W92" i="5"/>
  <c r="W100" i="5"/>
  <c r="W103" i="5"/>
  <c r="W108" i="5"/>
  <c r="W107" i="5"/>
  <c r="W110" i="5"/>
  <c r="W109" i="5"/>
  <c r="W88" i="5"/>
  <c r="W101" i="5"/>
  <c r="W112" i="5"/>
  <c r="W105" i="5"/>
  <c r="W99" i="5"/>
  <c r="W94" i="5"/>
  <c r="W93" i="5"/>
  <c r="W102" i="5"/>
  <c r="W89" i="5"/>
  <c r="W181" i="5"/>
  <c r="W113" i="5"/>
  <c r="W91" i="5"/>
  <c r="W90" i="5"/>
  <c r="W98" i="5"/>
  <c r="W87" i="5"/>
  <c r="W104" i="5"/>
  <c r="W111" i="5"/>
  <c r="W97" i="5"/>
  <c r="W313" i="5"/>
  <c r="S6" i="5"/>
  <c r="O18" i="32"/>
  <c r="J7" i="8"/>
  <c r="E25" i="34"/>
  <c r="W69" i="5"/>
  <c r="W129" i="5"/>
  <c r="W132" i="5"/>
  <c r="W131" i="5"/>
  <c r="W134" i="5"/>
  <c r="W19" i="5"/>
  <c r="W43" i="5"/>
  <c r="W44" i="5"/>
  <c r="W28" i="5"/>
  <c r="W195" i="5"/>
  <c r="W192" i="5"/>
  <c r="W196" i="5"/>
  <c r="W180" i="5"/>
  <c r="W179" i="5"/>
  <c r="W228" i="5"/>
  <c r="W256" i="5"/>
  <c r="W316" i="5"/>
  <c r="W202" i="5"/>
  <c r="W206" i="5"/>
  <c r="W197" i="5"/>
  <c r="W118" i="5"/>
  <c r="W303" i="5"/>
  <c r="W155" i="5"/>
  <c r="W151" i="5"/>
  <c r="W156" i="5"/>
  <c r="W160" i="5"/>
  <c r="W309" i="5"/>
  <c r="W79" i="5"/>
  <c r="W74" i="5"/>
  <c r="W278" i="5"/>
  <c r="W279" i="5"/>
  <c r="W283" i="5"/>
  <c r="W312" i="5"/>
  <c r="W322" i="5"/>
  <c r="W241" i="5"/>
  <c r="W292" i="5"/>
  <c r="W290" i="5"/>
  <c r="W208" i="5"/>
  <c r="W210" i="5"/>
  <c r="W236" i="5"/>
  <c r="W24" i="5"/>
  <c r="O58" i="32"/>
  <c r="S13" i="5"/>
  <c r="H36" i="34"/>
  <c r="J7" i="14"/>
  <c r="W144" i="5"/>
  <c r="W257" i="5"/>
  <c r="W299" i="5"/>
  <c r="W301" i="5"/>
  <c r="W298" i="5"/>
  <c r="W187" i="5"/>
  <c r="W182" i="5"/>
  <c r="W183" i="5"/>
  <c r="S7" i="5"/>
  <c r="J7" i="10"/>
  <c r="E32" i="34"/>
  <c r="O24" i="32"/>
  <c r="W72" i="5"/>
  <c r="W310" i="5"/>
  <c r="W272" i="5"/>
  <c r="W115" i="5"/>
  <c r="W246" i="5"/>
  <c r="W171" i="5"/>
  <c r="W262" i="5"/>
  <c r="W52" i="5"/>
  <c r="W38" i="5"/>
  <c r="W321" i="5"/>
  <c r="W267" i="5"/>
  <c r="W276" i="5"/>
  <c r="W268" i="5"/>
  <c r="W226" i="5"/>
  <c r="W54" i="5"/>
  <c r="W222" i="5"/>
  <c r="W215" i="5"/>
  <c r="W245" i="5"/>
  <c r="W67" i="5"/>
  <c r="W62" i="5"/>
  <c r="W229" i="5"/>
  <c r="W164" i="5"/>
  <c r="W166" i="5"/>
  <c r="W169" i="5"/>
  <c r="W259" i="5"/>
  <c r="W81" i="5"/>
  <c r="W254" i="5"/>
  <c r="W51" i="5"/>
  <c r="W141" i="5"/>
  <c r="W135" i="5"/>
  <c r="W37" i="5"/>
  <c r="W36" i="5"/>
  <c r="W311" i="5"/>
  <c r="W247" i="5"/>
  <c r="W125" i="5"/>
  <c r="W133" i="5"/>
  <c r="W126" i="5"/>
  <c r="W22" i="5"/>
  <c r="W21" i="5"/>
  <c r="W47" i="5"/>
  <c r="W41" i="5"/>
  <c r="W46" i="5"/>
  <c r="W29" i="5"/>
  <c r="W191" i="5"/>
  <c r="W188" i="5"/>
  <c r="W176" i="5"/>
  <c r="W225" i="5"/>
  <c r="AC5" i="29"/>
  <c r="G14" i="23" s="1"/>
  <c r="H14" i="23" s="1"/>
  <c r="I14" i="23" s="1"/>
  <c r="M70" i="29"/>
  <c r="J77" i="24" s="1"/>
  <c r="W255" i="5"/>
  <c r="W318" i="5"/>
  <c r="W199" i="5"/>
  <c r="W205" i="5"/>
  <c r="W200" i="5"/>
  <c r="W119" i="5"/>
  <c r="W307" i="5"/>
  <c r="W153" i="5"/>
  <c r="W152" i="5"/>
  <c r="W158" i="5"/>
  <c r="W154" i="5"/>
  <c r="W116" i="5"/>
  <c r="W75" i="5"/>
  <c r="W281" i="5"/>
  <c r="W287" i="5"/>
  <c r="W284" i="5"/>
  <c r="W289" i="5"/>
  <c r="W70" i="5"/>
  <c r="W320" i="5"/>
  <c r="W294" i="5"/>
  <c r="W213" i="5"/>
  <c r="W233" i="5"/>
  <c r="J7" i="17"/>
  <c r="S9" i="5"/>
  <c r="H10" i="34"/>
  <c r="O32" i="32"/>
  <c r="W146" i="5"/>
  <c r="W143" i="5"/>
  <c r="W84" i="5"/>
  <c r="AC7" i="29"/>
  <c r="G18" i="23" s="1"/>
  <c r="H18" i="23" s="1"/>
  <c r="I18" i="23" s="1"/>
  <c r="M104" i="29"/>
  <c r="J111" i="24" s="1"/>
  <c r="W50" i="5"/>
  <c r="W302" i="5"/>
  <c r="H22" i="34"/>
  <c r="O46" i="32"/>
  <c r="J7" i="20"/>
  <c r="S11" i="5"/>
  <c r="W114" i="5"/>
  <c r="W184" i="5"/>
  <c r="W4" i="5"/>
  <c r="W61" i="5"/>
  <c r="W68" i="5"/>
  <c r="W73" i="5"/>
  <c r="F53" i="34" l="1"/>
  <c r="G53" i="34" s="1"/>
  <c r="C48" i="34"/>
  <c r="D48" i="34" s="1"/>
  <c r="C49" i="34"/>
  <c r="D49" i="34" s="1"/>
  <c r="F52" i="34"/>
  <c r="G52" i="34" s="1"/>
  <c r="C51" i="34"/>
  <c r="D51" i="34" s="1"/>
  <c r="C52" i="34"/>
  <c r="D52" i="34" s="1"/>
  <c r="F49" i="34"/>
  <c r="G49" i="34" s="1"/>
  <c r="C53" i="34"/>
  <c r="D53" i="34" s="1"/>
  <c r="F48" i="34"/>
  <c r="G48" i="34" s="1"/>
  <c r="C50" i="34"/>
  <c r="D50" i="34" s="1"/>
  <c r="F51" i="34"/>
  <c r="G51" i="34" s="1"/>
  <c r="C47" i="34"/>
  <c r="D47" i="34" s="1"/>
  <c r="F50" i="34"/>
  <c r="G50" i="34" s="1"/>
  <c r="F47" i="34"/>
  <c r="G47" i="34" s="1"/>
</calcChain>
</file>

<file path=xl/connections.xml><?xml version="1.0" encoding="utf-8"?>
<connections xmlns="http://schemas.openxmlformats.org/spreadsheetml/2006/main">
  <connection id="1" name="T2" type="4" refreshedVersion="0" deleted="1" background="1">
    <webPr xml="1" sourceData="1" url="C:\Users\exthuhtaot\Documents\T3.xml" htmlTables="1" htmlFormat="all"/>
  </connection>
  <connection id="2" name="T3" type="4" refreshedVersion="0" deleted="1" background="1">
    <webPr xml="1" sourceData="1" url="C:\Users\exthuhtaot\Documents\T.xml" htmlTables="1" htmlFormat="all"/>
  </connection>
</connections>
</file>

<file path=xl/sharedStrings.xml><?xml version="1.0" encoding="utf-8"?>
<sst xmlns="http://schemas.openxmlformats.org/spreadsheetml/2006/main" count="8015" uniqueCount="2744">
  <si>
    <t>RISK</t>
  </si>
  <si>
    <t>Riskienhallinta</t>
  </si>
  <si>
    <t>●</t>
  </si>
  <si>
    <t>Kyberturvallisuusriskien hallinta</t>
  </si>
  <si>
    <t>Taso</t>
  </si>
  <si>
    <t>Käytäntö</t>
  </si>
  <si>
    <t>Vastaus</t>
  </si>
  <si>
    <t>1a</t>
  </si>
  <si>
    <t>4 - Täysin toteutettu</t>
  </si>
  <si>
    <t>1b</t>
  </si>
  <si>
    <t>1c</t>
  </si>
  <si>
    <t>1d</t>
  </si>
  <si>
    <t>1e</t>
  </si>
  <si>
    <t>1f</t>
  </si>
  <si>
    <t>1g</t>
  </si>
  <si>
    <t>1h</t>
  </si>
  <si>
    <t>1i</t>
  </si>
  <si>
    <t>0 - Vastaus puuttuu</t>
  </si>
  <si>
    <t>1j</t>
  </si>
  <si>
    <t xml:space="preserve"> </t>
  </si>
  <si>
    <t>2a</t>
  </si>
  <si>
    <t>2b</t>
  </si>
  <si>
    <t>2c</t>
  </si>
  <si>
    <t>2d</t>
  </si>
  <si>
    <t>2e</t>
  </si>
  <si>
    <t>3a</t>
  </si>
  <si>
    <t>3b</t>
  </si>
  <si>
    <t>3c</t>
  </si>
  <si>
    <t>3d</t>
  </si>
  <si>
    <t>3e</t>
  </si>
  <si>
    <t>3f</t>
  </si>
  <si>
    <t>3g</t>
  </si>
  <si>
    <t>Domain</t>
  </si>
  <si>
    <t>DomainSub</t>
  </si>
  <si>
    <t>Practice</t>
  </si>
  <si>
    <t>PracticeShort</t>
  </si>
  <si>
    <t>PracticeMIL</t>
  </si>
  <si>
    <t>AnswerLevel</t>
  </si>
  <si>
    <t>AnswerBool</t>
  </si>
  <si>
    <t>H_taso</t>
  </si>
  <si>
    <t>H_käytäntöjä</t>
  </si>
  <si>
    <t>V2.0</t>
  </si>
  <si>
    <t>FINAL</t>
  </si>
  <si>
    <t>RISK-1</t>
  </si>
  <si>
    <t>RISK-1a</t>
  </si>
  <si>
    <t>RISK-1b</t>
  </si>
  <si>
    <t>RISK-1c</t>
  </si>
  <si>
    <t>RISK-2</t>
  </si>
  <si>
    <t>RISK-1d</t>
  </si>
  <si>
    <t>RISK-3</t>
  </si>
  <si>
    <t>RISK-1e</t>
  </si>
  <si>
    <t>ASSET</t>
  </si>
  <si>
    <t>RISK-1f</t>
  </si>
  <si>
    <t>ASSET-1</t>
  </si>
  <si>
    <t>RISK-1g</t>
  </si>
  <si>
    <t>ASSET-2</t>
  </si>
  <si>
    <t>RISK-1h</t>
  </si>
  <si>
    <t>ASSET-3</t>
  </si>
  <si>
    <t>RISK-1i</t>
  </si>
  <si>
    <t>ASSET-4</t>
  </si>
  <si>
    <t>CRITICAL</t>
  </si>
  <si>
    <t>RISK-1j</t>
  </si>
  <si>
    <t>ASSET-5</t>
  </si>
  <si>
    <t>RISK-2a</t>
  </si>
  <si>
    <t>ACCESS</t>
  </si>
  <si>
    <t>RISK-2b</t>
  </si>
  <si>
    <t>ACCESS-1</t>
  </si>
  <si>
    <t>RISK-2c</t>
  </si>
  <si>
    <t>ACCESS-2</t>
  </si>
  <si>
    <t>THREAT</t>
  </si>
  <si>
    <t>RISK-2d</t>
  </si>
  <si>
    <t>ACCESS-3</t>
  </si>
  <si>
    <t>SITUATION</t>
  </si>
  <si>
    <t>RISK-2e</t>
  </si>
  <si>
    <t>RESPONSE</t>
  </si>
  <si>
    <t>RISK-3a</t>
  </si>
  <si>
    <t>THREAT-1</t>
  </si>
  <si>
    <t>DEPENDENCIES</t>
  </si>
  <si>
    <t>RISK-3b</t>
  </si>
  <si>
    <t>THREAT-2</t>
  </si>
  <si>
    <t>WORKFORCE</t>
  </si>
  <si>
    <t>RISK-3c</t>
  </si>
  <si>
    <t>THREAT-3</t>
  </si>
  <si>
    <t>ARCHITECTURE</t>
  </si>
  <si>
    <t>RISK-3d</t>
  </si>
  <si>
    <t>PROGRAM</t>
  </si>
  <si>
    <t>RISK-3e</t>
  </si>
  <si>
    <t>SITUATION-1</t>
  </si>
  <si>
    <t>RISK-3f</t>
  </si>
  <si>
    <t>SITUATION-2</t>
  </si>
  <si>
    <t>RISK-3g</t>
  </si>
  <si>
    <t>SITUATION-3</t>
  </si>
  <si>
    <t>ASSET-1a</t>
  </si>
  <si>
    <t>SITUATION-4</t>
  </si>
  <si>
    <t>ASSET-1b</t>
  </si>
  <si>
    <t>ASSET-1c</t>
  </si>
  <si>
    <t>RESPONSE-1</t>
  </si>
  <si>
    <t>ASSET-1d</t>
  </si>
  <si>
    <t>RESPONSE-2</t>
  </si>
  <si>
    <t>ASSET-1e</t>
  </si>
  <si>
    <t>RESPONSE-3</t>
  </si>
  <si>
    <t>ASSET-1f</t>
  </si>
  <si>
    <t>RESPONSE-4</t>
  </si>
  <si>
    <t>ASSET-2a</t>
  </si>
  <si>
    <t>ASSET-2b</t>
  </si>
  <si>
    <t>DEPENDENCIES-1</t>
  </si>
  <si>
    <t>ASSET-2c</t>
  </si>
  <si>
    <t>DEPENDENCIES-2</t>
  </si>
  <si>
    <t>ASSET-2d</t>
  </si>
  <si>
    <t>DEPENDENCIES-3</t>
  </si>
  <si>
    <t>ASSET-2e</t>
  </si>
  <si>
    <t>ASSET-2f</t>
  </si>
  <si>
    <t>2f</t>
  </si>
  <si>
    <t>WORKFORCE-1</t>
  </si>
  <si>
    <t>ASSET-3a</t>
  </si>
  <si>
    <t>WORKFORCE-2</t>
  </si>
  <si>
    <t>ASSET-3b</t>
  </si>
  <si>
    <t>WORKFORCE-3</t>
  </si>
  <si>
    <t>ASSET-3c</t>
  </si>
  <si>
    <t>WORKFORCE-4</t>
  </si>
  <si>
    <t>ASSET-3d</t>
  </si>
  <si>
    <t>WORKFORCE-5</t>
  </si>
  <si>
    <t>ASSET-3e</t>
  </si>
  <si>
    <t>ASSET-3f</t>
  </si>
  <si>
    <t>ARCHITECTURE-1</t>
  </si>
  <si>
    <t>ASSET-4a</t>
  </si>
  <si>
    <t>4a</t>
  </si>
  <si>
    <t>ARCHITECTURE-2</t>
  </si>
  <si>
    <t>ASSET-4b</t>
  </si>
  <si>
    <t>4b</t>
  </si>
  <si>
    <t>ARCHITECTURE-3</t>
  </si>
  <si>
    <t>ASSET-4c</t>
  </si>
  <si>
    <t>4c</t>
  </si>
  <si>
    <t>ARCHITECTURE-4</t>
  </si>
  <si>
    <t>ASSET-4d</t>
  </si>
  <si>
    <t>4d</t>
  </si>
  <si>
    <t>ARCHITECTURE-5</t>
  </si>
  <si>
    <t>ASSET-4e</t>
  </si>
  <si>
    <t>4e</t>
  </si>
  <si>
    <t>ASSET-4f</t>
  </si>
  <si>
    <t>4f</t>
  </si>
  <si>
    <t>PROGRAM-1</t>
  </si>
  <si>
    <t>ASSET-5a</t>
  </si>
  <si>
    <t>5a</t>
  </si>
  <si>
    <t>PROGRAM-2</t>
  </si>
  <si>
    <t>ASSET-5b</t>
  </si>
  <si>
    <t>5b</t>
  </si>
  <si>
    <t>PROGRAM-3</t>
  </si>
  <si>
    <t>ASSET-5c</t>
  </si>
  <si>
    <t>5c</t>
  </si>
  <si>
    <t>PROGRAM-4</t>
  </si>
  <si>
    <t>ASSET-5d</t>
  </si>
  <si>
    <t>5d</t>
  </si>
  <si>
    <t>ASSET-5e</t>
  </si>
  <si>
    <t>5e</t>
  </si>
  <si>
    <t>ASSET-5f</t>
  </si>
  <si>
    <t>5f</t>
  </si>
  <si>
    <t>CRITICAL-1</t>
  </si>
  <si>
    <t>ASSET-5g</t>
  </si>
  <si>
    <t>5g</t>
  </si>
  <si>
    <t>CRITICAL-2</t>
  </si>
  <si>
    <t>ACCESS-1a</t>
  </si>
  <si>
    <t>CRITICAL-3</t>
  </si>
  <si>
    <t>ACCESS-1b</t>
  </si>
  <si>
    <t>ACCESS-1c</t>
  </si>
  <si>
    <t>ACCESS-1d</t>
  </si>
  <si>
    <t>ACCESS-1e</t>
  </si>
  <si>
    <t>ACCESS-1f</t>
  </si>
  <si>
    <t>ACCESS-1g</t>
  </si>
  <si>
    <t>ACCESS-2a</t>
  </si>
  <si>
    <t>ACCESS-2b</t>
  </si>
  <si>
    <t>ACCESS-2c</t>
  </si>
  <si>
    <t>ACCESS-2d</t>
  </si>
  <si>
    <t>ACCESS-2e</t>
  </si>
  <si>
    <t>ACCESS-2f</t>
  </si>
  <si>
    <t>ACCESS-2g</t>
  </si>
  <si>
    <t>2g</t>
  </si>
  <si>
    <t>ACCESS-2h</t>
  </si>
  <si>
    <t>2h</t>
  </si>
  <si>
    <t>ACCESS-3a</t>
  </si>
  <si>
    <t>ACCESS-3b</t>
  </si>
  <si>
    <t>ACCESS-3c</t>
  </si>
  <si>
    <t>ACCESS-3d</t>
  </si>
  <si>
    <t>ACCESS-3e</t>
  </si>
  <si>
    <t>ACCESS-3f</t>
  </si>
  <si>
    <t>ACCESS-3g</t>
  </si>
  <si>
    <t>THREAT-1a</t>
  </si>
  <si>
    <t>THREAT-1b</t>
  </si>
  <si>
    <t>THREAT-1c</t>
  </si>
  <si>
    <t>THREAT-1d</t>
  </si>
  <si>
    <t>THREAT-1e</t>
  </si>
  <si>
    <t>THREAT-1f</t>
  </si>
  <si>
    <t>THREAT-1g</t>
  </si>
  <si>
    <t>THREAT-1h</t>
  </si>
  <si>
    <t>THREAT-1i</t>
  </si>
  <si>
    <t>THREAT-1j</t>
  </si>
  <si>
    <t>THREAT-1k</t>
  </si>
  <si>
    <t>1k</t>
  </si>
  <si>
    <t>THREAT-1l</t>
  </si>
  <si>
    <t>1l</t>
  </si>
  <si>
    <t>THREAT-2a</t>
  </si>
  <si>
    <t>THREAT-2b</t>
  </si>
  <si>
    <t>THREAT-2c</t>
  </si>
  <si>
    <t>THREAT-2d</t>
  </si>
  <si>
    <t>THREAT-2e</t>
  </si>
  <si>
    <t>THREAT-2f</t>
  </si>
  <si>
    <t>THREAT-2g</t>
  </si>
  <si>
    <t>THREAT-2h</t>
  </si>
  <si>
    <t>THREAT-2i</t>
  </si>
  <si>
    <t>2i</t>
  </si>
  <si>
    <t>THREAT-2j</t>
  </si>
  <si>
    <t>2j</t>
  </si>
  <si>
    <t>THREAT-2k</t>
  </si>
  <si>
    <t>2k</t>
  </si>
  <si>
    <t>THREAT-2l</t>
  </si>
  <si>
    <t>2l</t>
  </si>
  <si>
    <t>THREAT-2m</t>
  </si>
  <si>
    <t>2m</t>
  </si>
  <si>
    <t>THREAT-3a</t>
  </si>
  <si>
    <t>THREAT-3b</t>
  </si>
  <si>
    <t>THREAT-3c</t>
  </si>
  <si>
    <t>THREAT-3d</t>
  </si>
  <si>
    <t>THREAT-3e</t>
  </si>
  <si>
    <t>THREAT-3f</t>
  </si>
  <si>
    <t>THREAT-3g</t>
  </si>
  <si>
    <t>SITUATION-1a</t>
  </si>
  <si>
    <t>SITUATION-1b</t>
  </si>
  <si>
    <t>SITUATION-1c</t>
  </si>
  <si>
    <t>SITUATION-1d</t>
  </si>
  <si>
    <t>SITUATION-2a</t>
  </si>
  <si>
    <t>SITUATION-2b</t>
  </si>
  <si>
    <t>SITUATION-2c</t>
  </si>
  <si>
    <t>SITUATION-2d</t>
  </si>
  <si>
    <t>SITUATION-2e</t>
  </si>
  <si>
    <t>SITUATION-2f</t>
  </si>
  <si>
    <t>SITUATION-2g</t>
  </si>
  <si>
    <t>SITUATION-2h</t>
  </si>
  <si>
    <t>SITUATION-2i</t>
  </si>
  <si>
    <t>SITUATION-2j</t>
  </si>
  <si>
    <t>SITUATION-3a</t>
  </si>
  <si>
    <t>SITUATION-3b</t>
  </si>
  <si>
    <t>SITUATION-3c</t>
  </si>
  <si>
    <t>SITUATION-3d</t>
  </si>
  <si>
    <t>SITUATION-3e</t>
  </si>
  <si>
    <t>SITUATION-3f</t>
  </si>
  <si>
    <t>SITUATION-3g</t>
  </si>
  <si>
    <t>SITUATION-3h</t>
  </si>
  <si>
    <t>3h</t>
  </si>
  <si>
    <t>SITUATION-4a</t>
  </si>
  <si>
    <t>SITUATION-4b</t>
  </si>
  <si>
    <t>SITUATION-4c</t>
  </si>
  <si>
    <t>SITUATION-4d</t>
  </si>
  <si>
    <t>SITUATION-4e</t>
  </si>
  <si>
    <t>SITUATION-4f</t>
  </si>
  <si>
    <t>SITUATION-4g</t>
  </si>
  <si>
    <t>4g</t>
  </si>
  <si>
    <t>RESPONSE-1a</t>
  </si>
  <si>
    <t>RESPONSE-1b</t>
  </si>
  <si>
    <t>RESPONSE-1c</t>
  </si>
  <si>
    <t>RESPONSE-1d</t>
  </si>
  <si>
    <t>RESPONSE-1e</t>
  </si>
  <si>
    <t>RESPONSE-1f</t>
  </si>
  <si>
    <t>RESPONSE-2a</t>
  </si>
  <si>
    <t>RESPONSE-2b</t>
  </si>
  <si>
    <t>RESPONSE-2c</t>
  </si>
  <si>
    <t>RESPONSE-2d</t>
  </si>
  <si>
    <t>RESPONSE-2e</t>
  </si>
  <si>
    <t>RESPONSE-2f</t>
  </si>
  <si>
    <t>RESPONSE-2g</t>
  </si>
  <si>
    <t>RESPONSE-2h</t>
  </si>
  <si>
    <t>RESPONSE-2i</t>
  </si>
  <si>
    <t>RESPONSE-3a</t>
  </si>
  <si>
    <t>RESPONSE-3b</t>
  </si>
  <si>
    <t>RESPONSE-3c</t>
  </si>
  <si>
    <t>RESPONSE-3d</t>
  </si>
  <si>
    <t>RESPONSE-3e</t>
  </si>
  <si>
    <t>RESPONSE-3f</t>
  </si>
  <si>
    <t>RESPONSE-3g</t>
  </si>
  <si>
    <t>RESPONSE-3h</t>
  </si>
  <si>
    <t>RESPONSE-3i</t>
  </si>
  <si>
    <t>3i</t>
  </si>
  <si>
    <t>RESPONSE-3j</t>
  </si>
  <si>
    <t>3j</t>
  </si>
  <si>
    <t>RESPONSE-4a</t>
  </si>
  <si>
    <t>RESPONSE-4b</t>
  </si>
  <si>
    <t>RESPONSE-4c</t>
  </si>
  <si>
    <t>RESPONSE-4d</t>
  </si>
  <si>
    <t>RESPONSE-4e</t>
  </si>
  <si>
    <t>RESPONSE-4f</t>
  </si>
  <si>
    <t>RESPONSE-4g</t>
  </si>
  <si>
    <t>DEPENDENCIES-1a</t>
  </si>
  <si>
    <t>DEPENDENCIES-1b</t>
  </si>
  <si>
    <t>DEPENDENCIES-1c</t>
  </si>
  <si>
    <t>DEPENDENCIES-1d</t>
  </si>
  <si>
    <t>DEPENDENCIES-1e</t>
  </si>
  <si>
    <t>DEPENDENCIES-1f</t>
  </si>
  <si>
    <t>DEPENDENCIES-1g</t>
  </si>
  <si>
    <t>DEPENDENCIES-2a</t>
  </si>
  <si>
    <t>DEPENDENCIES-2b</t>
  </si>
  <si>
    <t>DEPENDENCIES-2c</t>
  </si>
  <si>
    <t>DEPENDENCIES-2d</t>
  </si>
  <si>
    <t>DEPENDENCIES-2e</t>
  </si>
  <si>
    <t>DEPENDENCIES-2f</t>
  </si>
  <si>
    <t>DEPENDENCIES-2g</t>
  </si>
  <si>
    <t>DEPENDENCIES-2h</t>
  </si>
  <si>
    <t>DEPENDENCIES-2i</t>
  </si>
  <si>
    <t>DEPENDENCIES-2j</t>
  </si>
  <si>
    <t>DEPENDENCIES-2k</t>
  </si>
  <si>
    <t>DEPENDENCIES-2l</t>
  </si>
  <si>
    <t>DEPENDENCIES-2m</t>
  </si>
  <si>
    <t>DEPENDENCIES-2n</t>
  </si>
  <si>
    <t>2n</t>
  </si>
  <si>
    <t>DEPENDENCIES-3a</t>
  </si>
  <si>
    <t>DEPENDENCIES-3b</t>
  </si>
  <si>
    <t>DEPENDENCIES-3c</t>
  </si>
  <si>
    <t>DEPENDENCIES-3d</t>
  </si>
  <si>
    <t>DEPENDENCIES-3e</t>
  </si>
  <si>
    <t>DEPENDENCIES-3f</t>
  </si>
  <si>
    <t>DEPENDENCIES-3g</t>
  </si>
  <si>
    <t>WORKFORCE-1a</t>
  </si>
  <si>
    <t>WORKFORCE-1b</t>
  </si>
  <si>
    <t>WORKFORCE-1c</t>
  </si>
  <si>
    <t>WORKFORCE-1d</t>
  </si>
  <si>
    <t>WORKFORCE-1e</t>
  </si>
  <si>
    <t>WORKFORCE-1f</t>
  </si>
  <si>
    <t>WORKFORCE-2a</t>
  </si>
  <si>
    <t>WORKFORCE-2b</t>
  </si>
  <si>
    <t>WORKFORCE-2c</t>
  </si>
  <si>
    <t>WORKFORCE-2d</t>
  </si>
  <si>
    <t>WORKFORCE-2e</t>
  </si>
  <si>
    <t>WORKFORCE-2f</t>
  </si>
  <si>
    <t>WORKFORCE-3a</t>
  </si>
  <si>
    <t>WORKFORCE-3b</t>
  </si>
  <si>
    <t>WORKFORCE-3c</t>
  </si>
  <si>
    <t>WORKFORCE-3d</t>
  </si>
  <si>
    <t>WORKFORCE-3e</t>
  </si>
  <si>
    <t>WORKFORCE-3f</t>
  </si>
  <si>
    <t>WORKFORCE-4a</t>
  </si>
  <si>
    <t>WORKFORCE-4b</t>
  </si>
  <si>
    <t>WORKFORCE-4c</t>
  </si>
  <si>
    <t>WORKFORCE-4d</t>
  </si>
  <si>
    <t>WORKFORCE-4e</t>
  </si>
  <si>
    <t>WORKFORCE-5a</t>
  </si>
  <si>
    <t>WORKFORCE-5b</t>
  </si>
  <si>
    <t>WORKFORCE-5c</t>
  </si>
  <si>
    <t>WORKFORCE-5d</t>
  </si>
  <si>
    <t>WORKFORCE-5e</t>
  </si>
  <si>
    <t>WORKFORCE-5f</t>
  </si>
  <si>
    <t>WORKFORCE-5g</t>
  </si>
  <si>
    <t>ARCHITECTURE-1a</t>
  </si>
  <si>
    <t>ARCHITECTURE-1b</t>
  </si>
  <si>
    <t>ARCHITECTURE-1c</t>
  </si>
  <si>
    <t>ARCHITECTURE-1d</t>
  </si>
  <si>
    <t>ARCHITECTURE-1e</t>
  </si>
  <si>
    <t>ARCHITECTURE-1f</t>
  </si>
  <si>
    <t>ARCHITECTURE-1g</t>
  </si>
  <si>
    <t>ARCHITECTURE-1h</t>
  </si>
  <si>
    <t>ARCHITECTURE-1i</t>
  </si>
  <si>
    <t>ARCHITECTURE-2a</t>
  </si>
  <si>
    <t>ARCHITECTURE-2b</t>
  </si>
  <si>
    <t>ARCHITECTURE-2c</t>
  </si>
  <si>
    <t>ARCHITECTURE-3a</t>
  </si>
  <si>
    <t>ARCHITECTURE-3b</t>
  </si>
  <si>
    <t>ARCHITECTURE-3c</t>
  </si>
  <si>
    <t>ARCHITECTURE-3d</t>
  </si>
  <si>
    <t>ARCHITECTURE-4a</t>
  </si>
  <si>
    <t>ARCHITECTURE-4b</t>
  </si>
  <si>
    <t>ARCHITECTURE-4c</t>
  </si>
  <si>
    <t>ARCHITECTURE-4d</t>
  </si>
  <si>
    <t>ARCHITECTURE-4e</t>
  </si>
  <si>
    <t>ARCHITECTURE-4f</t>
  </si>
  <si>
    <t>ARCHITECTURE-4g</t>
  </si>
  <si>
    <t>ARCHITECTURE-4h</t>
  </si>
  <si>
    <t>4h</t>
  </si>
  <si>
    <t>ARCHITECTURE-4i</t>
  </si>
  <si>
    <t>4i</t>
  </si>
  <si>
    <t>ARCHITECTURE-5a</t>
  </si>
  <si>
    <t>ARCHITECTURE-5b</t>
  </si>
  <si>
    <t>ARCHITECTURE-5c</t>
  </si>
  <si>
    <t>ARCHITECTURE-5d</t>
  </si>
  <si>
    <t>ARCHITECTURE-5e</t>
  </si>
  <si>
    <t>ARCHITECTURE-5f</t>
  </si>
  <si>
    <t>ARCHITECTURE-5g</t>
  </si>
  <si>
    <t>PROGRAM-1a</t>
  </si>
  <si>
    <t>PROGRAM-1b</t>
  </si>
  <si>
    <t>PROGRAM-1c</t>
  </si>
  <si>
    <t>PROGRAM-1d</t>
  </si>
  <si>
    <t>PROGRAM-1e</t>
  </si>
  <si>
    <t>PROGRAM-1f</t>
  </si>
  <si>
    <t>PROGRAM-1g</t>
  </si>
  <si>
    <t>PROGRAM-1h</t>
  </si>
  <si>
    <t>PROGRAM-2a</t>
  </si>
  <si>
    <t>PROGRAM-2b</t>
  </si>
  <si>
    <t>PROGRAM-2c</t>
  </si>
  <si>
    <t>PROGRAM-2d</t>
  </si>
  <si>
    <t>PROGRAM-2e</t>
  </si>
  <si>
    <t>PROGRAM-2f</t>
  </si>
  <si>
    <t>PROGRAM-2g</t>
  </si>
  <si>
    <t>PROGRAM-2h</t>
  </si>
  <si>
    <t>PROGRAM-2i</t>
  </si>
  <si>
    <t>PROGRAM-2j</t>
  </si>
  <si>
    <t>PROGRAM-2k</t>
  </si>
  <si>
    <t>PROGRAM-2l</t>
  </si>
  <si>
    <t>PROGRAM-3a</t>
  </si>
  <si>
    <t>PROGRAM-3b</t>
  </si>
  <si>
    <t>PROGRAM-3c</t>
  </si>
  <si>
    <t>PROGRAM-3d</t>
  </si>
  <si>
    <t>PROGRAM-3e</t>
  </si>
  <si>
    <t>PROGRAM-3f</t>
  </si>
  <si>
    <t>PROGRAM-3g</t>
  </si>
  <si>
    <t>PROGRAM-3h</t>
  </si>
  <si>
    <t>PROGRAM-3i</t>
  </si>
  <si>
    <t>PROGRAM-3j</t>
  </si>
  <si>
    <t>PROGRAM-3k</t>
  </si>
  <si>
    <t>3k</t>
  </si>
  <si>
    <t>PROGRAM-3l</t>
  </si>
  <si>
    <t>3l</t>
  </si>
  <si>
    <t>PROGRAM-3m</t>
  </si>
  <si>
    <t>3m</t>
  </si>
  <si>
    <t>PROGRAM-4a</t>
  </si>
  <si>
    <t>PROGRAM-4b</t>
  </si>
  <si>
    <t>PROGRAM-4c</t>
  </si>
  <si>
    <t>PROGRAM-4d</t>
  </si>
  <si>
    <t>PROGRAM-4e</t>
  </si>
  <si>
    <t>PROGRAM-4f</t>
  </si>
  <si>
    <t>CRITICAL-1a</t>
  </si>
  <si>
    <t>CRITICAL-1b</t>
  </si>
  <si>
    <t>CRITICAL-1c</t>
  </si>
  <si>
    <t>CRITICAL-1d</t>
  </si>
  <si>
    <t>CRITICAL-1e</t>
  </si>
  <si>
    <t>CRITICAL-1f</t>
  </si>
  <si>
    <t>CRITICAL-1g</t>
  </si>
  <si>
    <t>CRITICAL-1h</t>
  </si>
  <si>
    <t>CRITICAL-2a</t>
  </si>
  <si>
    <t>CRITICAL-2b</t>
  </si>
  <si>
    <t>CRITICAL-2c</t>
  </si>
  <si>
    <t>CRITICAL-2d</t>
  </si>
  <si>
    <t>CRITICAL-2e</t>
  </si>
  <si>
    <t>CRITICAL-2f</t>
  </si>
  <si>
    <t>CRITICAL-2g</t>
  </si>
  <si>
    <t>CRITICAL-2h</t>
  </si>
  <si>
    <t>CRITICAL-2i</t>
  </si>
  <si>
    <t>CRITICAL-2j</t>
  </si>
  <si>
    <t>CRITICAL-2k</t>
  </si>
  <si>
    <t>CRITICAL-3a</t>
  </si>
  <si>
    <t>CRITICAL-3b</t>
  </si>
  <si>
    <t>CRITICAL-3c</t>
  </si>
  <si>
    <t>CRITICAL-3d</t>
  </si>
  <si>
    <t>CRITICAL-3e</t>
  </si>
  <si>
    <t>CRITICAL-3f</t>
  </si>
  <si>
    <t>CRITICAL-3g</t>
  </si>
  <si>
    <t>CRITICAL-3h</t>
  </si>
  <si>
    <t>REF</t>
  </si>
  <si>
    <t>GEN-ANSWER</t>
  </si>
  <si>
    <t>GEN-COMMENT</t>
  </si>
  <si>
    <t>GEN-LEVEL</t>
  </si>
  <si>
    <t>GEN-PRACTICE</t>
  </si>
  <si>
    <t>Risk Management</t>
  </si>
  <si>
    <t>RISK-0</t>
  </si>
  <si>
    <t>Establish, operate, and maintain an enterprise cybersecurity risk management program to identify, analyze, and mitigate cybersecurity risk to the organization, including its business units, subsidiaries, related interconnected infrastructure, and stakeholders.</t>
  </si>
  <si>
    <t xml:space="preserve">Manage Cybersecurity Risk </t>
  </si>
  <si>
    <t>RISK-1-0</t>
  </si>
  <si>
    <t>Managing cybersecurity risk involves framing, identifying and assessing, responding to (accepting, avoiding, mitigating, transferring), and monitoring risks in a manner that aligns with the needs of the organization. Key to performing these activities is a common understanding of the cybersecurity risk management strategy discussed above. With defined risk criteria, organizations can consistently respond to and monitor identified risks. A risk register—a list of identified risks and associated attributes—facilitates this process. Other domains in this model (Situational Awareness and Event and Incident Response; ) refer to the risk register and illustrate how the practices in the model are strengthened as they connect through a cybersecurity risk management program.</t>
  </si>
  <si>
    <t>Cybersecurity risks are identified and documented, at least in an ad hoc manner</t>
  </si>
  <si>
    <t>Risks are mitigated, accepted, avoided, or transferred (i.e., risk responses are implemented), at least in an ad hoc manner</t>
  </si>
  <si>
    <t>Risk assessments are performed to identify risks according to organization-defined triggers (e.g., time elapsed, changes to infrastructure, changes to threat environment)</t>
  </si>
  <si>
    <t>Risks are recorded in a risk register (a structured repository of identified risks)</t>
  </si>
  <si>
    <t>Risks are analyzed to select and prioritize risk responses using defined risk criteria (RISK-2b)</t>
  </si>
  <si>
    <t>Risks are tracked to ensure that risk responses are implemented and meet organizational objectives (PROGRAM-1b)</t>
  </si>
  <si>
    <t>Risk assessments include all assets and activities that are critical to the achievement of the organization’s mission</t>
  </si>
  <si>
    <t>The risk management program defines and operates risk management policies and procedures
that implement the risk management strategy</t>
  </si>
  <si>
    <t>A current cybersecurity architecture is used to inform risk analysis (ARCHITECTURE-1c)</t>
  </si>
  <si>
    <t>The risk register includes all risks identified through cybersecurity risk assessments and is used to support risk management activities</t>
  </si>
  <si>
    <t>Establish Cybersecurity Risk Management Strategy</t>
  </si>
  <si>
    <t>RISK-2-0</t>
  </si>
  <si>
    <t xml:space="preserve">A cybersecurity risk management strategy is a high-level strategy that provides direction for analyzing and prioritizing cybersecurity risk and defines risk tolerance. The cybersecurity risk management strategy includes a risk assessment methodology, risk monitoring strategy, and cybersecurity governance program. This includes defining the enterprise risk criteria (e.g., impact thresholds, risk response approaches) that guide the cybersecurity program discussed in the Cybersecurity Program Management domain later in this model. The cybersecurity risk management strategy should align with the enterprise risk management strategy to ensure that cybersecurity risk is managed in a manner that is consistent with the organization’s mission and business objectives. </t>
  </si>
  <si>
    <t>There is a documented cybersecurity risk management strategy</t>
  </si>
  <si>
    <t>Organizational risk criteria (criteria that the organization uses for evaluating, categorizing, and prioritizing operational risks based on impact, risk tolerance, and risk response capabilities) are defined and available</t>
  </si>
  <si>
    <t>The risk management strategy defines risk response options for the organization</t>
  </si>
  <si>
    <t>The risk management strategy is periodically updated to reflect the current threat environment</t>
  </si>
  <si>
    <t>An organization-specific risk taxonomy (a catalogued collection of common risks that the organization is subject to and must manage) is documented and is used in risk management activities</t>
  </si>
  <si>
    <t>Management Activities</t>
  </si>
  <si>
    <t>RISK-3-0</t>
  </si>
  <si>
    <t>Institutionalization describes the extent to which a practice or activity is ingrained in an organization’s operations. The more deeply ingrained an activity, the more likely it is that the organization will continue to perform the practice over time, the practice will be retained under times of stress, and the outcomes of the practice will be consistent, repeatable, and of high quality.</t>
  </si>
  <si>
    <t>Documented practices are established, followed, and maintained for activities in the RISK domain</t>
  </si>
  <si>
    <t>Adequate resources (people, funding, and tools) are provided to support activities in the RISK domain</t>
  </si>
  <si>
    <t>Personnel performing activities in the RISK domain have the skills and knowledge needed to perform their assigned responsibilities</t>
  </si>
  <si>
    <t>Responsibility and authority for the performance of activities in the RISK domain are assigned to personnel</t>
  </si>
  <si>
    <t>Policies or other organizational directives are established and maintained that enact specific organizational requirements for the implementation of activities in the RISK domain</t>
  </si>
  <si>
    <t>Performance objectives for activities in the RISK domain are established and monitored to track achievement (PROGRAM-1b)</t>
  </si>
  <si>
    <t>Documented practices for activities in the RISK domain are standardized and improved across the enterprise</t>
  </si>
  <si>
    <t>Comment</t>
  </si>
  <si>
    <t>"Level reached"- limit</t>
  </si>
  <si>
    <t>Result must be greater than the limit [%]</t>
  </si>
  <si>
    <t>Level labels</t>
  </si>
  <si>
    <t>Management report level 1 lower limit</t>
  </si>
  <si>
    <t>result &lt; this = LEVEL 0</t>
  </si>
  <si>
    <t>Management report level 2 lower limit</t>
  </si>
  <si>
    <t>result &lt; this = LEVEL 1</t>
  </si>
  <si>
    <t>Management report level 3 lower limit</t>
  </si>
  <si>
    <t>result &lt; this = LEVEL 2, result &gt;= this  = LEVEL 3</t>
  </si>
  <si>
    <t>Answer options</t>
  </si>
  <si>
    <t>1 - Ei toteutettu</t>
  </si>
  <si>
    <t>2 - Osittain toteutettu</t>
  </si>
  <si>
    <t>3 - Enimmäkseen  toteutettu</t>
  </si>
  <si>
    <t>Critical Sector</t>
  </si>
  <si>
    <t>Ei hvk-toimiala</t>
  </si>
  <si>
    <t>Elintarvikehuolto</t>
  </si>
  <si>
    <t>Energiahuolto</t>
  </si>
  <si>
    <t>Kriittinen teollisuustuotanto</t>
  </si>
  <si>
    <t>Logistiikka</t>
  </si>
  <si>
    <t>Terveydenhuolto</t>
  </si>
  <si>
    <t>Tietoyhteiskunta</t>
  </si>
  <si>
    <t>KYBERMITTARI</t>
  </si>
  <si>
    <t>Kriittisten palveluiden ja niiden riippuvuuksien tunnistaminen</t>
  </si>
  <si>
    <t>Asset, Change and Configuration Management</t>
  </si>
  <si>
    <t>ASSET-0</t>
  </si>
  <si>
    <t>Manage the organization’s IT and OT assets, including both hardware and software, commensurate with the risk to critical infrastructure and organizational objectives.</t>
  </si>
  <si>
    <t>Manage IT and OT Asset Inventory</t>
  </si>
  <si>
    <t>ASSET-1-0</t>
  </si>
  <si>
    <t xml:space="preserve">An inventory of assets important to the delivery of the function is an important resource in managing cybersecurity risk. Recording important information, such as software version, physical location, asset owner, and priority, enables many other cybersecurity management activities. For example, a robust asset inventory can identify the deployment location of software that requires patching. </t>
  </si>
  <si>
    <t>There is an inventory of IT and OT assets that are important to the delivery of the function; management of the inventory may be ad hoc</t>
  </si>
  <si>
    <t>Inventory attributes include information to support the cybersecurity program strategy (PROGRAM-1a) (e.g., locations, asset owners, applicable cybersecurity requirements, service dependencies, service level agreements, end of life dates, end of support dates, and conformance of assets to relevant industry standards)</t>
  </si>
  <si>
    <t>Inventoried assets for the delivery of the function are prioritized based on formally defined criteria</t>
  </si>
  <si>
    <t>All IT and OT assets for the delivery of the function are inventoried</t>
  </si>
  <si>
    <t>The asset inventory is current (as defined by the organization)</t>
  </si>
  <si>
    <t>The asset inventory is used to identify cybersecurity risks (e.g., asset end of life or end of support, single points of failure)</t>
  </si>
  <si>
    <t>Manage Information Asset Inventory</t>
  </si>
  <si>
    <t>ASSET-2-0</t>
  </si>
  <si>
    <t>There is an inventory of information assets that are important to the delivery of the function (e.g., SCADA set points, customer information, financial data, log data); management of the inventory may be ad hoc</t>
  </si>
  <si>
    <t>Inventory attributes include information to support the cybersecurity program strategy (PROGRAM-1a) (e.g., storage locations, backup locations and frequencies, asset owners, applicable cybersecurity requirements, service dependencies, service level agreements)</t>
  </si>
  <si>
    <t>Inventoried information assets are categorized based on a defined scheme</t>
  </si>
  <si>
    <t>There is an inventory for all information assets related to the delivery of the function</t>
  </si>
  <si>
    <t>The asset inventory is used to identify cybersecurity risks (e.g., risk of disclosure, risk of destruction, risk of tampering)</t>
  </si>
  <si>
    <t>Manage Asset Configuration</t>
  </si>
  <si>
    <t>ASSET-3-0</t>
  </si>
  <si>
    <t>Managing asset configuration involves defining a configuration baseline for information assets, IT assets, and OT assets and ensuring that these assets are configured according to the baseline. Most commonly, this practice applies to ensuring that similar assets are configured in the same way. However, in cases where assets are either unique or must have individual configurations, managing asset configuration involves controlling the configuration baseline of the asset when it is deployed for operation and ensuring that the asset remains configured according to the baseline.</t>
  </si>
  <si>
    <t>Configuration baselines are established, at least in an ad hoc manner, for inventoried assets where it is desirable to ensure that multiple assets are configured similarly</t>
  </si>
  <si>
    <t>Configuration baselines are used, at least in an ad hoc manner, to configure assets at deployment and restoration</t>
  </si>
  <si>
    <t>The design of configuration baselines includes cybersecurity objectives (PROGRAM-1b)</t>
  </si>
  <si>
    <t>Asset configurations are monitored for consistency with baselines throughout the assets’ lifecycles</t>
  </si>
  <si>
    <t>Configuration baselines are reviewed and updated at an organization-defined frequency</t>
  </si>
  <si>
    <t>Vakioidut perusasetukset katselmoidaan ja päivitetään organisaation määrittelemin aikavälein.</t>
  </si>
  <si>
    <t>Configuration baselines incorporate requirements from the applicable security zone (ARCHITECTURE-2b) (e.g., network appliance configurations are tailored to the traffic restrictions for the zone)</t>
  </si>
  <si>
    <t>Manage Changes to Assets</t>
  </si>
  <si>
    <t>ASSET-4-0</t>
  </si>
  <si>
    <t>Managing changes to assets includes analyzing requested changes to ensure they do not introduce unacceptable vulnerabilities into the operating environment, ensuring all changes follow the change management process, and identifying unauthorized changes. Change control applies to the entire asset life cycle, including requirements definition, testing, deployment and maintenance, and retirement from operation.</t>
  </si>
  <si>
    <t>Changes to inventoried assets are evaluated before being implemented, at least in an ad hoc manner</t>
  </si>
  <si>
    <t>Changes to inventoried assets are logged, at least in an ad hoc manner</t>
  </si>
  <si>
    <t>Changes to assets are tested prior to being deployed, whenever possible</t>
  </si>
  <si>
    <t>Change management practices address the full life cycle of assets (i.e., acquisition, deployment,
operation, retirement)</t>
  </si>
  <si>
    <t>Muutostenhallintakäytännöt kattavat suojattavien kohteiden koko elinkaaren (hankinta, käyttöönotto, käyttö, käytöstä poisto).</t>
  </si>
  <si>
    <t>Changes to assets are tested for cybersecurity impact prior to being deployed</t>
  </si>
  <si>
    <t>Change logs include information about modifications that impact the cybersecurity requirements of
assets (availability, integrity, confidentiality)</t>
  </si>
  <si>
    <t>ASSET-5-0</t>
  </si>
  <si>
    <t>Documented practices are established, followed, and maintained for activities in the ASSET domain</t>
  </si>
  <si>
    <t>Adequate resources (people, funding, and tools) are provided to support activities in the ASSET domain</t>
  </si>
  <si>
    <t>Personnel performing activities in the ASSET domain have the skills and knowledge needed to perform their assigned responsibilities</t>
  </si>
  <si>
    <t>Responsibility and authority for the performance of activities in the ASSET domain are assigned to personnel</t>
  </si>
  <si>
    <t>Policies or other organizational directives are established and maintained that enact specific organizational requirements for the implementation of activities in the ASSET domain</t>
  </si>
  <si>
    <t>Performance objectives for activities in the ASSET domain are established and monitored to track achievement (PROGRAM-1b)</t>
  </si>
  <si>
    <t>Documented practices for activities in the ASSET domain are standardized and improved across the enterprise</t>
  </si>
  <si>
    <t>Identity and Access Management</t>
  </si>
  <si>
    <t>ACCESS-0</t>
  </si>
  <si>
    <t>Create and manage identities for entities that may be granted logical or physical access to the organization’s assets. Control access to the organization’s assets, commensurate with the risk to critical infrastructure and organizational objectives.</t>
  </si>
  <si>
    <t>Establish and Maintain Identities</t>
  </si>
  <si>
    <t>ACCESS-1-0</t>
  </si>
  <si>
    <t>Establishing and maintaining identities begins with the provisioning and deprovisioning (removing available identities when they are no longer required) of identities to entities. Entities may include individuals (internal or external to the organization) as well as devices, systems, or processes that require access to assets. In some cases, organizations may need to use shared identities. Management of shared identities may require compensatory measures to ensure an appropriate level of security. Maintenance of identities includes traceability (ensuring that all known identities are valid) as well as deprovisioning.</t>
  </si>
  <si>
    <t>Identities are provisioned, at least in an ad hoc manner, for personnel and other entities (e.g., services, devices) that require access to assets (note that this does not preclude shared identities)</t>
  </si>
  <si>
    <t>Credentials are issued for personnel and other entities that require access to assets (e.g., passwords, smart cards, certificates, keys, lock combinations), at least in an ad hoc manner</t>
  </si>
  <si>
    <t>Identities are deprovisioned, at least in an ad hoc manner, when no longer required</t>
  </si>
  <si>
    <t>Identity repositories are reviewed and updated to ensure accuracy, at an organization-defined frequency</t>
  </si>
  <si>
    <t>Credentials are periodically reviewed to ensure that they are associated with the correct person or entity</t>
  </si>
  <si>
    <t>Identities are deprovisioned within organization-defined time thresholds when no longer required</t>
  </si>
  <si>
    <t>Requirements for credentials are based on the organization’s risk criteria (RISK-2b) (e.g., multifactor credentials for higher risk access) and cybersecurity architecture (e.g., credential requirements for accessing security zones (ARCHITECTURE-2b))</t>
  </si>
  <si>
    <t>Control Access</t>
  </si>
  <si>
    <t>ACCESS-2-0</t>
  </si>
  <si>
    <t>Controlling access includes determining access requirements, granting access to assets based on those requirements, and revoking access when it is no longer required. Access requirements are associated with assets and provide guidance for which types of entities are allowed to access the asset, the limits of allowed access, and authentication parameters. For example, the access requirements for a specific asset might allow remote access by a vendor only during specified and preplanned maintenance intervals, and might also require multifactor authentication for such access. At higher maturity indicator levels, more scrutiny is applied to the access being granted. Access is granted only after considering risk to the function, and regular reviews of access are conducted.</t>
  </si>
  <si>
    <t>Access requirements (e.g., rules for which types of entities are allowed to access an asset, the limits of allowed access, constraints on remote access, and authentication parameters) are determined, at least in an ad hoc manner</t>
  </si>
  <si>
    <t>Access is granted to identities based on the access requirements, at least in an ad hoc manner</t>
  </si>
  <si>
    <t>Access is revoked when no longer required, at least in an ad hoc manner</t>
  </si>
  <si>
    <t>Access requirements incorporate least privilege and separation of duties principles</t>
  </si>
  <si>
    <t>Access requests are reviewed and approved by the asset owner</t>
  </si>
  <si>
    <t>Root-oikeudet, järjestelmävalvojan oikeudet, hätäoikeudet ja jaetut tunnukset tarkistetaan ja hyväksytään tarkemmalla menettelyllä kuin normaalit oikeudet ja niiden käyttöä valvotaan tarkemmin.</t>
  </si>
  <si>
    <t>Access privileges are reviewed and updated to ensure conformance with access requirements, at an organization-defined frequency</t>
  </si>
  <si>
    <t>Anomalous access attempts are monitored as indicators of cybersecurity events</t>
  </si>
  <si>
    <t>ACCESS-3-0</t>
  </si>
  <si>
    <t>Documented practices are established, followed, and maintained for activities in the ACCESS domain</t>
  </si>
  <si>
    <t>Adequate resources (people, funding, and tools) are provided to support activities in the ACCESS domain</t>
  </si>
  <si>
    <t>Personnel performing activities in the ACCESS domain have the skills and knowledge needed to perform their assigned responsibilities</t>
  </si>
  <si>
    <t>Responsibility and authority for the performance of activities in the ACCESS domain are assigned to personnel</t>
  </si>
  <si>
    <t>Policies or other organizational directives are established and maintained that enact specific organizational requirements for the implementation of activities in the ACCESS domain</t>
  </si>
  <si>
    <t>Performance objectives for activities in the ACCESS domain are established and monitored to track achievement (PROGRAM-1b)</t>
  </si>
  <si>
    <t>Documented practices for activities in the ACCESS domain are standardized and improved across the enterprise</t>
  </si>
  <si>
    <t>Kyberturvallisuuden kypsyystaso</t>
  </si>
  <si>
    <t>ID</t>
  </si>
  <si>
    <t>Identification of Critical Services and their dependencies</t>
  </si>
  <si>
    <t>Organization provided services that are critical to the society (critical services), have been identified and documented.</t>
  </si>
  <si>
    <t>The data needed to provide the critical services, has been mapped and documented.</t>
  </si>
  <si>
    <t>The processes needed to provide the critical services, have been mapped and documented.</t>
  </si>
  <si>
    <t>The systems (IT and OT assets) needed to provide the critical services, have been mapped and documented.</t>
  </si>
  <si>
    <t>The facilities needed to provide the critical services, have been mapped and documented.</t>
  </si>
  <si>
    <t>The supply chain needed to provide the critical services, has been mapped and documented.</t>
  </si>
  <si>
    <t>The period of time how quickly the failure of resources (data, processes, systems, facilities, supply chain) needed by critical services, would have a significant impact on the normal operation of the society, has been determined and documented.</t>
  </si>
  <si>
    <t>The cascade effects across the society of a degraded or failed critical services have been identified and documented.</t>
  </si>
  <si>
    <t>Governance of Critical Services</t>
  </si>
  <si>
    <t>Kriittisten palveluiden hallinta</t>
  </si>
  <si>
    <t>Senior-level accountability for the security of resources needed for delivering critical services, and delegate decision-making authority appropriately and effectively, should exist. Risks to network and information systems related to the delivery of critical services should be considered in the context of other organisational risks.</t>
  </si>
  <si>
    <t>All resources (data, processes, systems, facilities, supply chain) that are needed to provide the services critical to the society, are within the scope of the organization's security management policies and processes.</t>
  </si>
  <si>
    <t>All resources (data, processes, systems, facilities, supply chain) that are needed to provide the services critical to the society, are within the scope of the organization's risk management policies and processes.</t>
  </si>
  <si>
    <t>Your organisation's approach and policy relating to the security of networks and information systems supporting the delivery of  services critical to the society, are owned and managed at board level. These are communicated, in a meaningful way, to risk management decision-makers across the organisation.</t>
  </si>
  <si>
    <t>Regular board discussions on the security of network and information systems supporting the delivery of your services critical to the society take place, based on timely and accurate information and informed by expert guidance.</t>
  </si>
  <si>
    <t>There is a board-level individual who has overall accountability for the security of networks and information systems needed by the critical services and drives regular discussion at board-level.</t>
  </si>
  <si>
    <t>Direction set at board level is translated into effective organisational practices that direct and control the security of the networks and information systems supporting your critical services.</t>
  </si>
  <si>
    <t>Senior management have visibility of key risk decisions made throughout the organisation.</t>
  </si>
  <si>
    <t>Risk management decision-makers understand their responsibilities for making effective and timely decisions in the context of the risk appetite regarding the essential service, as set by senior management.</t>
  </si>
  <si>
    <t>Risk management decision-making is delegated and escalated where necessary, across the organisation, to people who have the skills, knowledge, tools, and authority they need.</t>
  </si>
  <si>
    <t>Risk management decisions are periodically reviewed to ensure their continued relevance and validity.</t>
  </si>
  <si>
    <t>The risk management process takes into account the resources (data, processes, systems, facilities, supply chain), critical period of time and cascade effects.</t>
  </si>
  <si>
    <t>Minimisation of the impact of cyber security incidents on Critical Services</t>
  </si>
  <si>
    <t>There should be well-defined and tested incident management processes in place, that aim to ensure continuity of critical services in the event of system or service failure. Mitigation activities designed to contain or limit the impact of compromise are also in place, and are scaled based on the overall risk and impact.</t>
  </si>
  <si>
    <t>Your response plan covers all of your critical services.</t>
  </si>
  <si>
    <t>Your response plan comprehensively covers scenarios that are focused on likely impacts of known and well-understood attacks only.</t>
  </si>
  <si>
    <t>Your response plan is understood by all staff who are involved with your organisation's response function</t>
  </si>
  <si>
    <t>Your response plan is documented and shared with all relevant stakeholders</t>
  </si>
  <si>
    <t>Your incident response plan is based on a clear understanding of the security risks to the networks and information systems supporting your essential service .</t>
  </si>
  <si>
    <t>Your incident response plan is comprehensive (i.e. covers the complete lifecycle of an incident, roles and responsibilities, and reporting) and covers likely impacts of both known attack patterns and of possible attacks, previously unseen.</t>
  </si>
  <si>
    <t>Your incident response plan is documented and integrated with wider organisational business and supply chain response plans.</t>
  </si>
  <si>
    <t>Your incident response plan is communicated and understood by the business areas involved with the supply or maintenance of your essential services.</t>
  </si>
  <si>
    <t>Toimiala</t>
  </si>
  <si>
    <t>2. Huomattava systeeminen vaikutus</t>
  </si>
  <si>
    <t>Cybersecurity Architecture</t>
  </si>
  <si>
    <t>Kyberturvallisuusarkkitehtuuri</t>
  </si>
  <si>
    <t>ARCHITECTURE-0</t>
  </si>
  <si>
    <t>Establish and maintain the structure and behavior of the organization’s cybersecurity controls, processes, and other elements, commensurate with the risk to critical infrastructure and organizational objectives.</t>
  </si>
  <si>
    <t>Establish and Maintain Cybersecurity Architecture Strategy and Program</t>
  </si>
  <si>
    <t>ARCHITECTURE-1-0</t>
  </si>
  <si>
    <t>The organization has a strategy for cybersecurity architecture, which may be developed and/or managed in an ad hoc manner</t>
  </si>
  <si>
    <t>A strategy for cybersecurity architecture is established and maintained to support the organization’s cybersecurity program strategy (PROGRAM-1b) and enterprise architecture</t>
  </si>
  <si>
    <t>A documented cybersecurity architecture is established and maintained that includes IT and OT systems and networks and aligns with system and asset categorization and prioritization</t>
  </si>
  <si>
    <t>Governance for cybersecurity architecture is established and maintained that includes provisions for periodic architectural reviews and an exceptions process (e.g., an architecture review board)</t>
  </si>
  <si>
    <t>The cybersecurity architecture incorporates confidentiality, integrity, and availability requirements for the function’s assets</t>
  </si>
  <si>
    <t>The cybersecurity architecture incorporates cybersecurity principles (e.g., least functionality, default deny, least privilege)</t>
  </si>
  <si>
    <t>The cybersecurity architecture strategy and program are aligned with the organization’s enterprise architecture strategy and program</t>
  </si>
  <si>
    <t>Conformance of the organization’s systems and networks to the cybersecurity architecture is evaluated according to organization-defined triggers (e.g., time elapsed, changes to systems, networks, or assets)</t>
  </si>
  <si>
    <t>The cybersecurity architecture is guided by the information from the organization’s risk taxonomy (RISK-2e) and threat profile (THREAT-1d) to support the implementation of protections against identified threats</t>
  </si>
  <si>
    <t>Implement Segmentation as an Element of the Cybersecurity Architecture</t>
  </si>
  <si>
    <t>ARCHITECTURE-2-0</t>
  </si>
  <si>
    <t>The organization’s IT systems are separated from OT systems through segmentation, either through physical means (e.g., air gaps) or logical means (e.g., network configuration or appliances), at least in an ad hoc manner</t>
  </si>
  <si>
    <t>Assets that are important to the delivery of the function are segmented into multiple security zones based on criteria defined in the cybersecurity architecture (e.g., risk analysis results, security requirements, remote access, functional requirements)</t>
  </si>
  <si>
    <t>All assets are segmented into security zones based on criteria defined in the cybersecurity architecture</t>
  </si>
  <si>
    <t>Implement Application Security as an Element of the Cybersecurity Architecture</t>
  </si>
  <si>
    <t>ARCHITECTURE-3-0</t>
  </si>
  <si>
    <t>Software developed in-house that is to be deployed on assets that are important to the delivery of the function is developed using secure software development practices</t>
  </si>
  <si>
    <t>The selection of procured software (e.g., mobile applications, applications to be hosted on premises, software-as-a-service applications) to be deployed on assets that are important to the delivery of the function includes consideration of the vendor’s secure software development practices (DEPENDENCIES-2e)</t>
  </si>
  <si>
    <t>The architecture review process evaluates the security of new and revised applications prior to deployment (ARCHITECTURE-1h)</t>
  </si>
  <si>
    <t>Security testing (e.g., static testing, dynamic testing, fuzz testing, penetration testing) is performed for in-house-developed and in-house-tailored applications based on identified risk according to organization-defined triggers (e.g., time elapsed, changes to applications, changes to threat environment)</t>
  </si>
  <si>
    <t>Implement Data Security as an Element of the Cybersecurity Architecture</t>
  </si>
  <si>
    <t>ARCHITECTURE-4-0</t>
  </si>
  <si>
    <t>Sensitive data (e.g., PII, PCI, PHI, CEII, IP, operations data) is protected at rest (e.g., encrypted, masked, password-protected, subject to access control lists) at least in an ad hoc manner</t>
  </si>
  <si>
    <t>Sensitive data (e.g., PII, PCI, PHI, CEII, IP, operations data) is protected in transit (e.g., encrypted, masked, transmitted using protected mechanisms) at least in an ad hoc manner (ASSET-2c)</t>
  </si>
  <si>
    <t>Key management infrastructure (i.e., key generation, key storage, key destruction, key update, and key revocation) are established and maintained to support the protection of data-at-rest and data-in-transit</t>
  </si>
  <si>
    <t>Cryptographic controls are established and maintained to support the protection of data-at-rest and data-in-transit as required in the cybersecurity architecture</t>
  </si>
  <si>
    <t>The cybersecurity architecture includes controls (e.g., data loss prevention tools, physical data exfiltration controls) to manage the transmission of data within and between systems based on security requirements (ARCHITECTURE-1e)</t>
  </si>
  <si>
    <t>The cybersecurity architecture includes protections for all data-at-rest (i.e., on-premise and cloud-based file storage and databases) for selected data categories (ASSET-2c)</t>
  </si>
  <si>
    <t>The cybersecurity architecture includes protections for all data-in-transit (e.g., within internal networks, across network boundaries, and external traffic, including cloud solutions) for selected data categories (ASSET-2c)</t>
  </si>
  <si>
    <t>Data protections are tested (e.g., controls validation) according to organization-defined triggers (e.g., time elapsed, changes to system architecture, changes to threat environment)</t>
  </si>
  <si>
    <t>The cybersecurity architecture includes protections against unauthorized changes to software, firmware, and information (due to errors or malicious activity)</t>
  </si>
  <si>
    <t>ARCHITECTURE-5-0</t>
  </si>
  <si>
    <t>Documented practices are established, followed, and maintained for activities in the ARCHITECTURE domain</t>
  </si>
  <si>
    <t>Adequate resources (people, funding, and tools) are provided to support activities in the ARCHITECTURE domain</t>
  </si>
  <si>
    <t>Personnel performing activities in the ARCHITECTURE domain have the skills and knowledge needed to perform their assigned responsibilities</t>
  </si>
  <si>
    <t>Responsibility and authority for the performance of activities in the ARCHITECTURE domain are assigned to personnel</t>
  </si>
  <si>
    <t>Policies or other organizational directives are established and maintained that enact specific organizational requirements for the implementation of activities in the ARCHITECTURE domain</t>
  </si>
  <si>
    <t>Performance objectives for activities in the ARCHITECTURE domain are established and monitored to track achievement (PROGRAM-1b)</t>
  </si>
  <si>
    <t>Documented practices for activities in the ARCHITECTURE domain are standardized and improved across the enterprise</t>
  </si>
  <si>
    <t>Cybersecurity Program Management</t>
  </si>
  <si>
    <t>PROGRAM-0</t>
  </si>
  <si>
    <t>Establish and maintain an enterprise cybersecurity program that provides governance, strategic planning, and sponsorship for the organization’s cybersecurity activities in a manner that aligns cybersecurity objectives with the organization’s strategic objectives and the risk to critical infrastructure.</t>
  </si>
  <si>
    <t>Establish Cybersecurity Program Strategy</t>
  </si>
  <si>
    <t>Kyberturvallisuusstrategia</t>
  </si>
  <si>
    <t>PROGRAM-1-0</t>
  </si>
  <si>
    <t>The cybersecurity program strategy is established as the foundation for the program. In its simplest form, the program strategy should include a list of cybersecurity objectives and a plan to meet them. At higher levels of maturity, the program strategy will be more complete and include priorities, a governance approach, structure and organization for the program, and more involvement by senior management in the design of the program.</t>
  </si>
  <si>
    <t>The organization has a cybersecurity program strategy, which may be developed and/or managed in an ad hoc manner</t>
  </si>
  <si>
    <t>The cybersecurity program strategy defines objectives for the organization’s cybersecurity activities</t>
  </si>
  <si>
    <t>The cybersecurity program strategy defines the organization’s approach to provide program oversight
and governance for cybersecurity activities</t>
  </si>
  <si>
    <t>The cybersecurity program strategy defines the structure and organization of the cybersecurity program</t>
  </si>
  <si>
    <t>The cybersecurity program strategy identifies standards and/or guidelines intended to be followed by the program</t>
  </si>
  <si>
    <t>The cybersecurity program strategy identifies any applicable compliance requirements that must be satisfied by the program</t>
  </si>
  <si>
    <t>The cybersecurity program strategy is updated to reflect business changes, changes in the operating environment, and changes in the threat profile (THREAT-1d)</t>
  </si>
  <si>
    <t>Sponsor Cybersecurity Program</t>
  </si>
  <si>
    <t>PROGRAM-2-0</t>
  </si>
  <si>
    <t>Sponsorship is important for implementing the program in accordance with the strategy. The fundamental form of sponsorship is to provide resources (people, tools, and funding). More advanced forms of sponsorship include visible involvement by senior leaders and designation of responsibility and authority for the program. Further, sponsorship includes organizational support for establishing and implementing policies or other organizational directives to guide the program.</t>
  </si>
  <si>
    <t>Resources (people, funding, and tools) are provided, at least in an ad hoc manner, to establish the cybersecurity program</t>
  </si>
  <si>
    <t>Senior management, with proper authority, provides support for the cybersecurity program, at least in an ad hoc manner</t>
  </si>
  <si>
    <t>The cybersecurity program is established according to the cybersecurity program strategy</t>
  </si>
  <si>
    <t>Adequate resources (people, funding, and tools) are provided to operate a cybersecurity program aligned with the program strategy</t>
  </si>
  <si>
    <t>Senior management sponsorship for the cybersecurity program is visible and active (e.g., the
importance and value of cybersecurity activities is regularly communicated by senior management)</t>
  </si>
  <si>
    <t>Senior management sponsorship is provided for the development, maintenance, and enforcement of cybersecurity policies</t>
  </si>
  <si>
    <t>Responsibility for the cybersecurity program is assigned to a role with requisite authority</t>
  </si>
  <si>
    <t>Stakeholders for cybersecurity program management activities are identified and involved</t>
  </si>
  <si>
    <t>The performance of the cybersecurity program is monitored to ensure it aligns with the cybersecurity
program strategy</t>
  </si>
  <si>
    <t>Cybersecurity activities are independently reviewed (i.e., by reviewers outside the cybersecurity program under direction from the organization's governing body) to ensure conformance with cybersecurity policies and procedures</t>
  </si>
  <si>
    <t>The organization collaborates with external entities to contribute to the development and implementation of cybersecurity standards, guidelines, leading practices, lessons learned, and emerging technologies</t>
  </si>
  <si>
    <t>Address Cybersecurity in Continuity of Operations</t>
  </si>
  <si>
    <t>PROGRAM-3-0</t>
  </si>
  <si>
    <t>The cybersecurity program and continuity of operations planning activities should be aligned with one another. This alignment is important to ensure that continuity plans are suitable to sustain and restore operations following a cyber event. Ensuring that continuity plans address potential cyber incidents requires consideration of known cyber threats and identified categories of cyber risk. Continuity plan testing should include cyber incident scenarios to ensure that the plans will function as intended during such an incident.</t>
  </si>
  <si>
    <t>Continuity plans are developed to sustain and restore operation of the function if a cyber event or incident occurs, at least in an ad hoc manner</t>
  </si>
  <si>
    <t>Backups of IT, OT, and information assets are available and tested, at least in an ad hoc manner</t>
  </si>
  <si>
    <t>An analysis of the impacts from potential cyber events informs the development of continuity plans</t>
  </si>
  <si>
    <t>The assets and activities necessary to sustain minimum operations of the function are identified and documented in continuity plans</t>
  </si>
  <si>
    <t>Continuity plans address IT, OT, and information assets important to the delivery of the function, including the availability of backup data and replacement, redundant, and spare IT and OT assets</t>
  </si>
  <si>
    <t>Continuity plans are tested through evaluations and exercises (e.g., walkthroughs, tabletops, dependency testing, testing backups and spares) at an organization-defined frequency</t>
  </si>
  <si>
    <t>Recovery time objectives (RTOs) and recovery point objectives (RPOs) for assets important to the delivery of the function are incorporated into continuity plans</t>
  </si>
  <si>
    <t>Cybersecurity incident criteria that trigger the execution of continuity plans are established and communicated to incident response and continuity management functions</t>
  </si>
  <si>
    <t>Continuity plans are tested through evaluations and exercises at an organization-defined frequency and include current cyber threat scenarios</t>
  </si>
  <si>
    <t>Continuity plans are aligned with the function’s risk taxonomy (RISK-2e) and threat profile (THREAT-1d) to ensure coverage of identified risk categories and threats</t>
  </si>
  <si>
    <t>The results of continuity plan testing or activation are compared to recovery objectives, and plans are improved accordingly</t>
  </si>
  <si>
    <t>Cybersecurity incident content within continuity plans is periodically reviewed and updated</t>
  </si>
  <si>
    <t>Continuity plans are periodically reviewed and updated</t>
  </si>
  <si>
    <t>PROGRAM-4-0</t>
  </si>
  <si>
    <t>Documented practices are established, followed, and maintained for activities in the PROGRAM domain</t>
  </si>
  <si>
    <t>Personnel performing activities in the PROGRAM domain have the skills and knowledge needed to perform their assigned responsibilities</t>
  </si>
  <si>
    <t>Responsibility and authority for the performance of activities in the PROGRAM domain are assigned to personnel</t>
  </si>
  <si>
    <t>Policies or other organizational directives are established and maintained that enact specific organizational requirements for the implementation of activities in the PROGRAM domain</t>
  </si>
  <si>
    <t>Performance objectives for activities in the PROGRAM domain are established and monitored to track achievement</t>
  </si>
  <si>
    <t>Documented practices for activities in the PROGRAM domain are standardized and improved across the enterprise</t>
  </si>
  <si>
    <t>Supply Chain and External Dependencies Management</t>
  </si>
  <si>
    <t>Toimitusketjun ja ulkoisten riippuvuuksien hallinta</t>
  </si>
  <si>
    <t>DEPENDENCIES-0</t>
  </si>
  <si>
    <t>Establish and maintain controls to manage the cybersecurity risks associated with services and assets that are dependent on external entities, commensurate with the risk to critical infrastructure and organizational objectives.</t>
  </si>
  <si>
    <t>Identify Dependencies</t>
  </si>
  <si>
    <t>Riippuvuuksien tunnistaminen</t>
  </si>
  <si>
    <t>DEPENDENCIES-1-0</t>
  </si>
  <si>
    <t>Identifying dependencies involves establishing and maintaining a comprehensive understanding of the key external relationships required for the delivery of the function.</t>
  </si>
  <si>
    <t>Important IT and OT supplier dependencies are identified (i.e., internal and external parties on which the delivery of the function depends, including operating partners), at least in an ad hoc manner</t>
  </si>
  <si>
    <t>Important customer dependencies are identified (i.e., internal and external parties that are dependent on the delivery of the function, including operating partners), at least in an ad hoc manner</t>
  </si>
  <si>
    <t>Supplier dependencies are identified according to established criteria</t>
  </si>
  <si>
    <t>Customer dependencies are identified according to established criteria</t>
  </si>
  <si>
    <t>Single-source and other essential dependencies are identified</t>
  </si>
  <si>
    <t>Dependencies are prioritized</t>
  </si>
  <si>
    <t>Dependency prioritization and identification are based on defined risk criteria (RISK-2b)</t>
  </si>
  <si>
    <t>Manage Dependency Risk</t>
  </si>
  <si>
    <t>Riippuvuusriskien hallinta</t>
  </si>
  <si>
    <t>DEPENDENCIES-2-0</t>
  </si>
  <si>
    <t>Managing dependency risk includes approaches such as independent testing, code review, scanning for vulnerabilities, and reviewing demonstrable evidence from the vendor that a secure software development process has been followed. Contracts binding the organization to a relationship with a partner or vendor for products or services should be reviewed and approved for cybersecurity risk mitigation, such as contract language that establishes vendor responsibilities for meeting or exceeding specified cybersecurity standards or guidelines. Service level agreements can specify monitoring and audit processes to verify that vendors and service providers meet cybersecurity and other performance measures.</t>
  </si>
  <si>
    <t>Significant cybersecurity risks due to suppliers and other dependencies are identified and addressed, at least in an ad hoc manner</t>
  </si>
  <si>
    <t>Cybersecurity requirements are considered when establishing relationships with suppliers and other third parties, at least in an ad hoc manner</t>
  </si>
  <si>
    <t>Identified cybersecurity dependency risks are entered into the risk register (RISK-1d)</t>
  </si>
  <si>
    <t>Contracts and agreements with third parties incorporate sharing of cybersecurity threat information</t>
  </si>
  <si>
    <t>Agreements with suppliers and other external entities include cybersecurity requirements</t>
  </si>
  <si>
    <t>Cybersecurity requirements are established for supplier dependencies based on defined risk criteria (RISK-2b)</t>
  </si>
  <si>
    <t>Vendor selection criteria include consideration of end-of-life and end-of-support timelines</t>
  </si>
  <si>
    <t>Vendor selection criteria include consideration of safeguards against counterfeit or compromised software, hardware, and services</t>
  </si>
  <si>
    <t>Information sources are monitored to identify and avoid supply chain risks (e.g., counterfeit or compromised software, hardware, and services)</t>
  </si>
  <si>
    <t>Acceptance testing of procured assets includes testing for cybersecurity requirements</t>
  </si>
  <si>
    <t>DEPENDENCIES-3-0</t>
  </si>
  <si>
    <t>Documented practices are established, followed, and maintained for activities in the DEPENDENCIES domain</t>
  </si>
  <si>
    <t>Adequate resources (people, funding, and tools) are provided to support activities in the DEPENDENCIES domain</t>
  </si>
  <si>
    <t>Personnel performing activities in the DEPENDENCIES domain have the skills and knowledge needed to perform their assigned responsibilities</t>
  </si>
  <si>
    <t>Responsibility and authority for the performance of activities in the DEPENDENCIES domain are assigned to personnel</t>
  </si>
  <si>
    <t>Policies or other organizational directives are established and maintained that enact specific organizational requirements for the implementation of activities in the DEPENDENCIES domain</t>
  </si>
  <si>
    <t>Performance objectives for activities in the DEPENDENCIES domain are established and monitored to track achievement (PROGRAM-1b)</t>
  </si>
  <si>
    <t>Documented practices for activities in the DEPENDENCIES domain are standardized and improved across the enterprise</t>
  </si>
  <si>
    <t>Threat and Vulnerability Management</t>
  </si>
  <si>
    <t>Uhkien ja haavoittuvuuksien hallinta</t>
  </si>
  <si>
    <t>THREAT-0</t>
  </si>
  <si>
    <t>Establish and maintain plans, procedures, and technologies to detect, identify, analyze, manage, and respond to cybersecurity threats and vulnerabilities, commensurate with the risk to the organization’s infrastructure (e.g., critical, IT, operational) and organizational objectives.</t>
  </si>
  <si>
    <t>Identify and Respond to Threats</t>
  </si>
  <si>
    <t>Uhkien tunnistaminen ja hallinta</t>
  </si>
  <si>
    <t>THREAT-1-0</t>
  </si>
  <si>
    <t>Threat identification and response begins with collecting useful threat information from reliable sources, interpreting that information in the context of the organization and function, and responding to threats that have the means, motive, and opportunity to affect the delivery of services. A threat profile includes characterization of likely intent, capability, and target of threats to the function. The threat profile can be used to guide the identification of specific threats, the risk analysis process described in the Risk Management domain, and the building of the operational and cyber status described in the Situational Awareness domain.</t>
  </si>
  <si>
    <t>Internal and external information sources to support threat management activities (e.g., NCCIC, appropriate ISACs, industry associations, vendors, federal briefings) are identified, at least in an ad hoc manner</t>
  </si>
  <si>
    <t>Cybersecurity threat information is gathered and interpreted for the function, at least in an ad hoc manner</t>
  </si>
  <si>
    <t>Threats that are relevant to the delivery of the function are addressed (e.g., implement mitigating controls, monitor threat status), at least in an ad hoc manner</t>
  </si>
  <si>
    <t>A threat profile for the function is established (e.g., characterization of potential threat actors, motives, intent, capabilities, and targets)</t>
  </si>
  <si>
    <t>Threat information sources that collectively address all components of the threat profile are prioritized and monitored</t>
  </si>
  <si>
    <t>Identified threats are analyzed and prioritized and are addressed accordingly</t>
  </si>
  <si>
    <t>Cybersecurity threat information is provided to selected individuals and/or organizations</t>
  </si>
  <si>
    <t>The threat profile for the function is updated at an organization-defined frequency</t>
  </si>
  <si>
    <t>Uhkaprofiili päivitetään organisaation määrittelemin aikavälein.</t>
  </si>
  <si>
    <t>Threats that pose ongoing risk to the function are referred to the risk management process for action (RISK-1e)</t>
  </si>
  <si>
    <t>Threat monitoring and response activities leverage and trigger predefined states of operation (SITUATION-3h)</t>
  </si>
  <si>
    <t>Threat information-sharing stakeholders are identified and engaged based on their relevance to the continued operation of the function (e.g., government, connected organizations, vendors, sector organizations, regulators, information sharing and analysis centers (ISACs), internal entities)</t>
  </si>
  <si>
    <t>Secure, automated workflows are used to publish, consume, analyze, and act upon cyber threat information</t>
  </si>
  <si>
    <t>Reduce Cybersecurity Vulnerabilities</t>
  </si>
  <si>
    <t>THREAT-2-0</t>
  </si>
  <si>
    <t>Reducing cybersecurity vulnerabilities begins with collecting and analyzing vulnerability information. Vulnerability discovery may be performed using automatic scanning tools, network penetration tests, cybersecurity exercises, and audits. Vulnerability analysis should consider the vulnerability’s local impact (the potential effect of the vulnerability on the exposed asset) as well as the importance of the exposed asset to the delivery of the function. Vulnerabilities may be addressed by implementing mitigating controls, monitoring threat status, applying cybersecurity patches, or through other activities.</t>
  </si>
  <si>
    <t>Information sources to support cybersecurity vulnerability discovery are identified (e.g., NCCIC, appropriate ISACs, industry associations, vendors, federal briefings, internal assessments), at least in an ad hoc manner</t>
  </si>
  <si>
    <t>Cybersecurity vulnerability information is gathered and interpreted for the function, at least in an ad hoc manner</t>
  </si>
  <si>
    <t>Cybersecurity vulnerability assessments (e.g., end-of-life and end-of-support asset review, software-based scans, penetration tests) are performed, at least in an ad hoc manner</t>
  </si>
  <si>
    <t>Cybersecurity vulnerabilities that are relevant to the delivery of the function are addressed (e.g., implement mitigating controls, apply cybersecurity patches), at least in an ad hoc manner</t>
  </si>
  <si>
    <t>Cybersecurity vulnerability information sources that collectively address all assets important to the function are monitored</t>
  </si>
  <si>
    <t>Cybersecurity vulnerability assessments are performed at an organization-defined frequency</t>
  </si>
  <si>
    <t>Identified cybersecurity vulnerabilities are analyzed and prioritized (e.g., the NIST Common Vulnerability Scoring System could be used for software vulnerabilities; internal guidelines could be used to prioritize other types of vulnerabilities) and are addressed accordingly</t>
  </si>
  <si>
    <t>Operational impact to the function is evaluated prior to deploying patches</t>
  </si>
  <si>
    <t>Information on any discovered cybersecurity vulnerabilities is shared with organization-defined stakeholders</t>
  </si>
  <si>
    <t>Cybersecurity vulnerability assessments are performed for all assets important to the delivery of the function at an organization-defined frequency</t>
  </si>
  <si>
    <t>Cybersecurity vulnerability assessments are performed by parties that are independent of the operations of the function</t>
  </si>
  <si>
    <t>Identified vulnerabilities that pose ongoing risk to the function are referred to the risk management process for response (RISK-1e)</t>
  </si>
  <si>
    <t>Ongoing risk monitoring includes review and confirmation of actions taken in response to cybersecurity vulnerabilities (e.g., deployment of patches or other activities) where appropriate</t>
  </si>
  <si>
    <t>THREAT-3-0</t>
  </si>
  <si>
    <t>Documented practices are established, followed, and maintained for activities in the THREAT domain</t>
  </si>
  <si>
    <t>Adequate resources (people, funding, and tools) are provided to support activities in the THREAT domain</t>
  </si>
  <si>
    <t>Personnel performing activities in the THREAT domain have the skills and knowledge needed to perform their assigned responsibilities</t>
  </si>
  <si>
    <t>Responsibility and authority for the performance of activities in the THREAT domain are assigned to personnel</t>
  </si>
  <si>
    <t>Policies or other organizational directives are established and maintained that enact specific organizational requirements for the implementation of activities in the THREAT domain</t>
  </si>
  <si>
    <t>Performance objectives for activities in the THREAT domain are established and monitored to track achievement (PROGRAM-1b)</t>
  </si>
  <si>
    <t>Documented practices for activities in the THREAT domain are standardized and improved across the enterprise</t>
  </si>
  <si>
    <t>Situational Awareness</t>
  </si>
  <si>
    <t>Tilannekuva</t>
  </si>
  <si>
    <t>SITUATION-0</t>
  </si>
  <si>
    <t>Establish and maintain activities and technologies to collect, analyze, alarm, present, and use operational and cybersecurity information, including status and summary information from the other model domains, to establish situational awareness for both the organization’s operational state and cybersecurity state.</t>
  </si>
  <si>
    <t>Perform Logging</t>
  </si>
  <si>
    <t>SITUATION-1-0</t>
  </si>
  <si>
    <t>Logging should be enabled based on an asset’s potential impact to the function. For example, the greater the potential impact of a compromised asset, the more data an organization might collect about the asset.</t>
  </si>
  <si>
    <t>Logging is occurring for assets important to the function wherever feasible, at least in an ad hoc manner</t>
  </si>
  <si>
    <t>Logging requirements are established and maintained for assets important to the function</t>
  </si>
  <si>
    <t>Log data are being aggregated within the function</t>
  </si>
  <si>
    <t>Lokit kerätään keskitetysti.</t>
  </si>
  <si>
    <t>Logging requirements are based on risk to the function (i.e., more rigorous logging for higher risk assets)</t>
  </si>
  <si>
    <t>Lokitusvaatimukset on määritelty riskiperustaisesti (esim. tarkempi lokitus riskialttiille suojattaville kohteille).</t>
  </si>
  <si>
    <t>Perform Monitoring</t>
  </si>
  <si>
    <t>SITUATION-2-0</t>
  </si>
  <si>
    <t>Monitoring and analyzing data collected in logs and through other means enables the organization to understand the function’s operational and cybersecurity status.</t>
  </si>
  <si>
    <t>Cybersecurity monitoring activities are performed (e.g., periodic reviews of log data), at least in an ad hoc manner</t>
  </si>
  <si>
    <t>Operational environments are monitored for anomalous behavior that may indicate a cybersecurity event, at least in an ad hoc manner</t>
  </si>
  <si>
    <t>Monitoring and analysis requirements are established and maintained for the function and address timely review of event data</t>
  </si>
  <si>
    <t>Indicators of anomalous activity are established and maintained based on system logs, data flows, cybersecurity events, and system architecture and are monitored across the operational environment</t>
  </si>
  <si>
    <t>Alarms and alerts are configured to support the identification of cybersecurity events (RESPONSE-1b)</t>
  </si>
  <si>
    <t>Monitoring activities are aligned with the defined threat profile (THREAT-1d)</t>
  </si>
  <si>
    <t>Monitoring requirements are based on the risk to the function (i.e., more rigorous monitoring for higher risk assets)</t>
  </si>
  <si>
    <t>Automated monitoring is performed across the operational environment to identify anomalous activity</t>
  </si>
  <si>
    <t>Risk register (RISK-1d) content is used to identify indicators of anomalous activity</t>
  </si>
  <si>
    <t>Indicators of anomalous activity are evaluated and updated at an organization-defined frequency</t>
  </si>
  <si>
    <t>Establish and Maintain Situational Awareness</t>
  </si>
  <si>
    <t>SITUATION-3-0</t>
  </si>
  <si>
    <t>Effectively communicating the operational and cybersecurity status to relevant decision makers is the essence of situational awareness (sometimes referred to as a common operating picture). While many situational awareness implementations may include visualization tools (e.g., dashboards, maps, and other graphical displays), they are not necessarily required to achieve the goal.</t>
  </si>
  <si>
    <t>Methods of communicating the current state of cybersecurity for the function are established and maintained</t>
  </si>
  <si>
    <t>Monitoring data are aggregated to provide an understanding of the operational state of the function</t>
  </si>
  <si>
    <t>Relevant information from across the organization is available to enhance situational awareness</t>
  </si>
  <si>
    <t>Situational awareness reporting requirements have been defined and address timely dissemination of cybersecurity information to organization-defined stakeholders (e.g., government, connected organizations, vendors, sector organizations, regulators, internal entities)</t>
  </si>
  <si>
    <t>Monitoring data are aggregated to provide near-real-time understanding of the cybersecurity state of the function</t>
  </si>
  <si>
    <t>Relevant information from outside the organization is collected and made available across the organization to enhance situational awareness (THREAT-1g, THREAT-2i)</t>
  </si>
  <si>
    <t>Procedures are in place to analyze and deconflict received cybersecurity information in support of situational awareness</t>
  </si>
  <si>
    <t>Predefined states of operation are documented and invoked (through manual or automated processes) based on the analysis of aggregated data (THREAT-1k, RESPONSE-3k)</t>
  </si>
  <si>
    <t>SITUATION-4-0</t>
  </si>
  <si>
    <t>Documented practices are established, followed, and maintained for activities in the SITUATION domain</t>
  </si>
  <si>
    <t>Adequate resources (people, funding, and tools) are provided to support activities in the SITUATION domain</t>
  </si>
  <si>
    <t>Personnel performing activities in the SITUATION domain have the skills and knowledge needed to perform their assigned responsibilities</t>
  </si>
  <si>
    <t>Responsibility and authority for the performance of activities in the SITUATION domain are assigned to personnel</t>
  </si>
  <si>
    <t>Policies or other organizational directives are established and maintained that enact specific organizational requirements for the implementation of activities in the SITUATION domain</t>
  </si>
  <si>
    <t>Performance objectives for activities in the SITUATION domain are established and monitored to track achievement (PROGRAM-1b)</t>
  </si>
  <si>
    <t>Documented practices for activities in the SITUATION domain are standardized and improved across the enterprise</t>
  </si>
  <si>
    <t>Event and Incident Response</t>
  </si>
  <si>
    <t>RESPONSE-0</t>
  </si>
  <si>
    <t>Establish and maintain plans, procedures, and technologies to detect, analyze, mitigate, respond to, and recover from cybersecurity events and incidents, commensurate with the risk to critical infrastructure and organizational objectives.</t>
  </si>
  <si>
    <t>Detect Cybersecurity Events</t>
  </si>
  <si>
    <t>RESPONSE-1-0</t>
  </si>
  <si>
    <t>Detecting cybersecurity events includes designating a forum for reporting events and establishing criteria for event prioritization. These criteria should align with the cybersecurity risk management strategy discussed in the Risk Management domain, ensure consistent valuation of events, and provide a means to determine what constitutes a cybersecurity event, when cybersecurity events are to be escalated, and the conditions that warrant the declaration of cybersecurity incidents.</t>
  </si>
  <si>
    <t>Detected cybersecurity events are reported to a specified person or role and logged, at least in an ad hoc manner</t>
  </si>
  <si>
    <t>Criteria are established for cybersecurity event detection (e.g., what constitutes a cybersecurity event, where to look for cybersecurity events)</t>
  </si>
  <si>
    <t>Cybersecurity events are centrally logged based on the established criteria</t>
  </si>
  <si>
    <t>Event information is correlated to support incident analysis by identifying patterns, trends, and other common features</t>
  </si>
  <si>
    <t>Tapahtumatietoja korreloidaan ja analysoidaan, jotta tunnistetaan mahdolliset säännönmukaisuudet, kehityssuunnat ja muut yhteiset piirteet.</t>
  </si>
  <si>
    <t>Cybersecurity event detection activities are adjusted based on information from the organization’s risk register (RISK-1d) and threat profile (THREAT-1d) to help monitor for identified risks and detect known threats</t>
  </si>
  <si>
    <t>Situational awareness for the function is monitored to support the identification of cybersecurity events (SITUATION-2i)</t>
  </si>
  <si>
    <t>Analyze Cybersecurity Events and Declare Incidents</t>
  </si>
  <si>
    <t>RESPONSE-2-0</t>
  </si>
  <si>
    <t>Escalating cybersecurity events involves applying the criteria discussed in the Detect Cybersecurity Events objective to determine when an event should be escalated and when an incident should be declared. Both cybersecurity events and cybersecurity incidents should be managed according to a response plan. Cybersecurity events and declared incidents may trigger external obligations, including reporting to regulatory bodies or notifying customers. Correlating multiple cybersecurity events and incidents and other records may uncover systemic problems within the environment.</t>
  </si>
  <si>
    <t>Criteria for declaring cybersecurity incidents are established, at least in an ad hoc manner</t>
  </si>
  <si>
    <t>Cybersecurity events are analyzed to support the declaration of cybersecurity incidents, at least in an ad hoc manner</t>
  </si>
  <si>
    <t>Cybersecurity incident declaration criteria are formally established based on the potential impact to the function (RISK-1c)</t>
  </si>
  <si>
    <t>Cybersecurity incident declaration criteria are updated at an organization defined frequency</t>
  </si>
  <si>
    <t>Events are escalated based on established criteria</t>
  </si>
  <si>
    <t>There is a repository where escalated cybersecurity events and incidents are logged and tracked to closure</t>
  </si>
  <si>
    <t>Cybersecurity stakeholders (e.g., government, connected organizations, vendors, sector organizations, regulators, internal entities) are identified and notified of events and incidents based on organization-defined criteria (SITUATION-3d)</t>
  </si>
  <si>
    <t>Criteria for cybersecurity incident declaration are aligned with the organization’s risk criteria (RISK-2b)</t>
  </si>
  <si>
    <t>Cybersecurity incidents are correlated to support the discovery of patterns, trends, and other common features</t>
  </si>
  <si>
    <t>Respond to Cybersecurity Events and Incidents</t>
  </si>
  <si>
    <t>RESPONSE-3-0</t>
  </si>
  <si>
    <t>Responding to cybersecurity incidents requires the organization to have a process to limit the impact of cybersecurity incidents to its functional and organizational units. The process should describe how the organization manages all phases of the incident lifecycle (e.g., triage, handling, communication, coordination, and closure). Conducting lessons-learned reviews as a part of cybersecurity event and incident response helps the organization eliminate the exploited vulnerability that led to the incident.</t>
  </si>
  <si>
    <t>Cybersecurity event and incident response personnel are identified and roles are assigned, at least in an ad hoc manner</t>
  </si>
  <si>
    <t>Responses to cybersecurity events and incidents are executed, at least in an ad hoc manner, to limit impact to the function and restore normal operations</t>
  </si>
  <si>
    <t>Cybersecurity events and incidents are reported to cybersecurity stakeholders, at least in an ad hoc manner</t>
  </si>
  <si>
    <t>Cybersecurity incident response plans that address all phases of the incident lifecycle (e.g., triage, escalation, handling, communication, coordination, and closure) are established and maintained</t>
  </si>
  <si>
    <t>Cybersecurity event and incident response is executed according to defined plans and procedures</t>
  </si>
  <si>
    <t>Cybersecurity event and incident response plan exercises are conducted at an organization-defined frequency</t>
  </si>
  <si>
    <t>Cybersecurity event and incident root-cause analysis and lessons-learned activities are performed and corrective actions are taken, including updating incident response plans</t>
  </si>
  <si>
    <t>Cybersecurity event and incident responses are coordinated with law enforcement and other external entities as appropriate, including support for evidence collection and preservation</t>
  </si>
  <si>
    <t>Cybersecurity event and incident response personnel participate in joint cybersecurity exercises with other organizations (e.g., tabletops, simulated incidents)</t>
  </si>
  <si>
    <t>Cybersecurity event and incident responses leverage and trigger predefined states of operation (SITUATION-3h)</t>
  </si>
  <si>
    <t>RESPONSE-4-0</t>
  </si>
  <si>
    <t>Documented practices are established, followed, and maintained for activities in the RESPONSE domain</t>
  </si>
  <si>
    <t>Adequate resources (people, funding, and tools) are provided to support activities in the RESPONSE domain</t>
  </si>
  <si>
    <t>Personnel performing activities in the RESPONSE domain have the skills and knowledge needed to perform their assigned responsibilities</t>
  </si>
  <si>
    <t>Responsibility and authority for the performance of activities in the RESPONSE domain are assigned to personnel</t>
  </si>
  <si>
    <t>Policies or other organizational directives are established and maintained that enact specific organizational requirements for the implementation of activities in the RESPONSE domain</t>
  </si>
  <si>
    <t>Performance objectives for activities in the RESPONSE domain are established and monitored to track achievement (PROGRAM-1b)</t>
  </si>
  <si>
    <t>Documented practices for activities in the RESPONSE domain are standardized and improved across the enterprise</t>
  </si>
  <si>
    <t>Workforce Management</t>
  </si>
  <si>
    <t>WORKFORCE-0</t>
  </si>
  <si>
    <t>Establish and maintain plans, procedures, technologies, and controls to create a culture of cybersecurity and to ensure the ongoing suitability and competence of personnel, commensurate with the risk to critical infrastructure and organizational objectives.</t>
  </si>
  <si>
    <t>Assign Cybersecurity Responsibilities</t>
  </si>
  <si>
    <t>WORKFORCE-1-0</t>
  </si>
  <si>
    <t>An important aspect of assigning cybersecurity responsibilities is ensuring adequacy and redundancy of coverage. For example, specific workforce roles with significant cybersecurity responsibilities are often easy to determine, but they can be challenging to maintain. It is vital to develop plans for key cybersecurity workforce roles (e.g., system administrators) to provide appropriate training, testing, redundancy, and evaluations of performance. Of course, cybersecurity responsibilities are not restricted to traditional IT roles; for example, some operations engineers may have cybersecurity responsibilities.</t>
  </si>
  <si>
    <t>Cybersecurity responsibilities for the function are identified, at least in an ad hoc manner</t>
  </si>
  <si>
    <t>Cybersecurity responsibilities are assigned to specific people, at least in an ad hoc manner</t>
  </si>
  <si>
    <t>Cybersecurity responsibilities are assigned to specific roles, including external service providers (e.g., Internet service providers, security as a service providers, cloud service providers, IT/OT service providers)</t>
  </si>
  <si>
    <t>Cybersecurity responsibilities are documented (e.g., in position descriptions, in performance criteria)</t>
  </si>
  <si>
    <t>Cybersecurity responsibilities and job requirements are reviewed and updated in accordance with organization-defined triggers (e.g., time elapsed, personnel changes, process changes)</t>
  </si>
  <si>
    <t>Assigned cybersecurity responsibilities are managed to ensure adequacy and redundancy of coverage, including succession planning</t>
  </si>
  <si>
    <t>Develop Cybersecurity Workforce</t>
  </si>
  <si>
    <t>WORKFORCE-2-0</t>
  </si>
  <si>
    <t>Developing the cybersecurity workforce includes training and recruiting to address identified skill gaps. For example, hiring practices should ensure that recruiters and interviewers are aware of cybersecurity workforce needs. Also, personnel (and contractors) should receive periodic security awareness training to reduce their vulnerability to social engineering and other threats. The effectiveness of training and awareness activities should be evaluated, and improvements should be made as needed.</t>
  </si>
  <si>
    <t>Cybersecurity training is made available to personnel with assigned cybersecurity responsibilities, at least in an ad hoc manner</t>
  </si>
  <si>
    <t>Cybersecurity knowledge, skill, and ability requirements and gaps are identified for both current and future operational needs</t>
  </si>
  <si>
    <t>Training, recruiting, and retention efforts are aligned to address identified workforce gaps</t>
  </si>
  <si>
    <t>The effectiveness of training programs is evaluated at an organization-defined frequency, and improvements are made as appropriate</t>
  </si>
  <si>
    <t>Training programs include continuing education and professional development opportunities for personnel with significant cybersecurity responsibilities</t>
  </si>
  <si>
    <t>Implement Workforce Controls</t>
  </si>
  <si>
    <t>WORKFORCE-3-0</t>
  </si>
  <si>
    <t>Implementing workforce controls includes personnel vetting (e.g., background checks), with extra vetting performed for positions that have access to assets needed to deliver an essential service. For example, system administrators typically have the ability to change configuration settings, modify or delete log files, create new accounts, and change passwords on critical systems, and specific measures are taken for protection of these systems from accidental or malicious behavior by this category of personnel.</t>
  </si>
  <si>
    <t>Personnel vetting (e.g., background checks, drug tests) is performed, at least in an ad hoc manner, at hire for positions that have access to the assets required for delivery of the function</t>
  </si>
  <si>
    <t>Personnel termination procedures address cybersecurity, at least in an ad hoc manner</t>
  </si>
  <si>
    <t>Personnel vetting is performed at an organization-defined frequency for positions that have access to the assets required for delivery of the function</t>
  </si>
  <si>
    <t>Personnel transfer procedures address cybersecurity</t>
  </si>
  <si>
    <t>Vetting is performed for all positions (including employees, vendors, and contractors) at a level commensurate with position risk</t>
  </si>
  <si>
    <t>A formal accountability process that includes disciplinary actions is implemented for personnel who fail to comply with established security policies and procedures</t>
  </si>
  <si>
    <t>Increase Cybersecurity Awareness</t>
  </si>
  <si>
    <t>WORKFORCE-4-0</t>
  </si>
  <si>
    <t>Increasing the cybersecurity awareness of the workforce is as important as technological approaches for improving the cybersecurity of the organization. The threat of cyber attack to an organization often starts with gaining some foothold into a company’s IT or OT systems—for example, by gaining the trust of an unwary employee or contractor who then introduces media or devices into the organization’s networks. The organization should share information with its workforce on methods and techniques to identify suspicious behavior, avoid spam and spear phishing, and recognize social engineering attacks to avoid providing information about the organization to potential adversaries. For example, an internal website could provide information about new threats and vulnerabilities in the industry. If no information on threats, vulnerabilities, and best practices is shared with the workforce, personnel may become more lax about security processes and procedures.</t>
  </si>
  <si>
    <t>Cybersecurity awareness activities occur, at least in an ad hoc manner</t>
  </si>
  <si>
    <t>Objectives for cybersecurity awareness activities are established and maintained (PROGRAM-1b)</t>
  </si>
  <si>
    <t>Cybersecurity awareness objectives are aligned with the defined threat profile (THREAT-1d)</t>
  </si>
  <si>
    <t>Cybersecurity awareness activities are aligned with the predefined states of operation (SITUATION-3h)</t>
  </si>
  <si>
    <t>WORKFORCE-5-0</t>
  </si>
  <si>
    <t>Documented practices are established, followed, and maintained for activities in the WORKFORCE domain</t>
  </si>
  <si>
    <t>Adequate resources (people, funding, and tools) are provided to support activities in the WORKFORCE domain</t>
  </si>
  <si>
    <t>Personnel performing activities in the WORKFORCE domain have the skills and knowledge needed to perform their assigned responsibilities</t>
  </si>
  <si>
    <t>Responsibility and authority for the performance of activities in the WORKFORCE domain are assigned to personnel</t>
  </si>
  <si>
    <t>Policies or other organizational directives are established and maintained that enact specific organizational requirements for the implementation of activities in the WORKFORCE domain</t>
  </si>
  <si>
    <t>Performance objectives for activities in the WORKFORCE domain are established and monitored to track achievement (PROGRAM-1b)</t>
  </si>
  <si>
    <t>Documented practices for activities in the WORKFORCE domain are standardized and improved across the enterprise</t>
  </si>
  <si>
    <t>Henkilöstö (sisäinen)</t>
  </si>
  <si>
    <t>Konsultointi</t>
  </si>
  <si>
    <t>Palvelut</t>
  </si>
  <si>
    <t>Yhteensä</t>
  </si>
  <si>
    <t>Suunniteltu</t>
  </si>
  <si>
    <t>Kategoria</t>
  </si>
  <si>
    <t>Tunnistaminen</t>
  </si>
  <si>
    <t>Suojautuminen</t>
  </si>
  <si>
    <t>Havainnointi</t>
  </si>
  <si>
    <t>Reagointi</t>
  </si>
  <si>
    <t>Palautuminen</t>
  </si>
  <si>
    <t>Organisaatiolla on peruskyvykkyys tunnistaa ja hallita kyberturvallisuusriskejä järjestelmiin, henkilöstöön, suojattaviin kohteisiin, tietoihin ja kriittisiin palveluihin liittyen, mutta prosessi ei välttämättä ole systemaattinen eikä se huomioi koko liiketoimintakontekstia tai organisaatiota osana yhteiskuntaa, joka voi puolestaan johtaa puutteisiin merkittävien riskien tunnistamisessa ja hallinnassa. Tyypillisesti tämä tarkoittaa, että ainakin osa resursseista ei ole käytössä optimaalisesti ja tehtävät toimenpiteet eivät välttämättä kohdistu merkittävimpiin kyberturvallisuusriskeihin.</t>
  </si>
  <si>
    <t>Organisaatiolla on peruskyvykkyys suojella sen kriittisiä palveluita kyberturvallisuusuhilta ja -häiriöiltä, mutta sen kattavuus ei ole systemaattinen, sisältäen useita heikkoja osa-alueita. Tyypillisesti tämä tarkoittaa, että suojaustoimenpiteitä ei välttämättä ole kohdistettu ja skaalattu palveluiden ja tiedon kriittisyyden perusteella. Tämä johtaa toisaalta resurssien ja investointien puutteelliseen kohdistamaan sekä toisaalta puutteisiin kriittisten palveluiden suojaamisessa.</t>
  </si>
  <si>
    <t>Organisaatiolla on hyvin rajoittunut kyky havaita kyberturvallisuushäiriöitä niiden tapahtuessa. Tyypillisesti tämä tarkoittaa, että torjuntatoimenpiteet viivästyvät merkittävästi ja tapahtuvat vasta merkittävän tietovuodon tai vahingon jälkeen. Hyökkääjän haluamat vaikutukset realisoituvat yleensä kokonaisuudessaan.</t>
  </si>
  <si>
    <t>Organisaatiolla on hyvin rajoittunut kyky aloittaa oikea-aikaiset ja koordinoidut torjuntatoimenpiteet kyberhyökkäyksiin vastaamiseksi. Tyypillisesti tämä tarkoittaa, että vaikka hyökkäys on tunnistettu ajoissa on edelleen todennäköistä, että hyökkäystä ja vahinkoja ei voida estää tai rajoittaa.</t>
  </si>
  <si>
    <t>Organisaatiolla on hyvin rajoittunut kyky käynnistää ja toteuttaa tarvittavat palautumistoimenpiteet kyberhyökkäyksestä toipumiseen. Tyypillisesti tämä tarkoittaa, että toipuminen kestää pitkään ja sen seurauksena mainehaitta, kustannukset ja häiriön vaikutukset voivat kohota merkittävästi.</t>
  </si>
  <si>
    <t>Category</t>
  </si>
  <si>
    <t>MGMT-ID</t>
  </si>
  <si>
    <t>MGMT-PR</t>
  </si>
  <si>
    <t>MGMT-DE</t>
  </si>
  <si>
    <t>MGMT-RS</t>
  </si>
  <si>
    <t>MGMT-RC</t>
  </si>
  <si>
    <t>Kyberturvallisuusstrategia määrittelee organisaation kyberturvallisuustavoitteet.</t>
  </si>
  <si>
    <t>ISC-1a</t>
  </si>
  <si>
    <t>ISC-1c</t>
  </si>
  <si>
    <t>ISC-1d</t>
  </si>
  <si>
    <t>ISC-1e</t>
  </si>
  <si>
    <t>The cybersecurity architecture provides an overarching plan for security to be engineered in a way that transcends point solutions for individual assets such as identity management or access control. It enables reasoning about the security of critical applications and data in terms of known architectural tactics to, for example, detect, resist, react to, and recover from attacks. Such tactics include segmentation, choice of hosting solutions, cryptographic controls, and audit trails, and they can be allied with availability tactics such as monitoring, rollback, and redundancy. Aligned with an organization’s enterprise architecture strategy and program, the cybersecurity architecture informs practices such as risk analysis and configuration of assets.</t>
  </si>
  <si>
    <t xml:space="preserve">Segmentation can be implemented by physical or logical means and its' purpose is to limit the attack surface. Ideally, each asset in a segment has a purpose to be in the segment. </t>
  </si>
  <si>
    <t>To protect users and data, application security is a key part of security architecture. Applications should be resilient even under abuse.
Application security should be taken into account also when using 3rd party solutions.</t>
  </si>
  <si>
    <t>Data is in the centre of cybersecurity architecture. To protect sensitive data, it must be recognized and the means for protection, such as key management processes must be in place.</t>
  </si>
  <si>
    <t>Ohjelmistokorjausten aiheuttama operatiivinen vaikutus arvioidaan ennen niiden asentamista.</t>
  </si>
  <si>
    <t>Critical Service Protection</t>
  </si>
  <si>
    <t>Kriittisten palveluiden suojaaminen</t>
  </si>
  <si>
    <t>Organisaation tuottamat yhteiskunnalle kriittiset palvelut on tunnistettu ja dokumentoitu.</t>
  </si>
  <si>
    <t>Alikat ID</t>
  </si>
  <si>
    <t>V1.1</t>
  </si>
  <si>
    <t>MIL</t>
  </si>
  <si>
    <t>Answer</t>
  </si>
  <si>
    <t>ID.AM-5</t>
  </si>
  <si>
    <t>ID.BE-4</t>
  </si>
  <si>
    <t>ID.GV-2</t>
  </si>
  <si>
    <t>ID.GV-3</t>
  </si>
  <si>
    <t>ID.SC-1</t>
  </si>
  <si>
    <t>ID.SC-3</t>
  </si>
  <si>
    <t>PR.AT-1</t>
  </si>
  <si>
    <t>PR.AT-2</t>
  </si>
  <si>
    <t>PR.AT-3</t>
  </si>
  <si>
    <t>PR.AT-4</t>
  </si>
  <si>
    <t>PR.AT-5</t>
  </si>
  <si>
    <t>PR.DS-3</t>
  </si>
  <si>
    <t>PR.IP-5</t>
  </si>
  <si>
    <t>PR.IP-11</t>
  </si>
  <si>
    <t>PR.MA-2</t>
  </si>
  <si>
    <t>PR.PT-2</t>
  </si>
  <si>
    <t>PR.PT-3</t>
  </si>
  <si>
    <t>DE.CM-5</t>
  </si>
  <si>
    <t>DE.CM-6</t>
  </si>
  <si>
    <t>DE.DP-1</t>
  </si>
  <si>
    <t>ID.SC-4</t>
  </si>
  <si>
    <t>EDM-2i</t>
  </si>
  <si>
    <t>ID.AM-1</t>
  </si>
  <si>
    <t>ACM-1a</t>
  </si>
  <si>
    <t>ACM-1c</t>
  </si>
  <si>
    <t>ACM-1e</t>
  </si>
  <si>
    <t>ACM-1f</t>
  </si>
  <si>
    <t>ID.AM-2</t>
  </si>
  <si>
    <t>ID.AM-3</t>
  </si>
  <si>
    <t>ID.AM-4</t>
  </si>
  <si>
    <t>EDM-1a</t>
  </si>
  <si>
    <t>EDM-1c</t>
  </si>
  <si>
    <t>EDM-1e</t>
  </si>
  <si>
    <t>EDM-1g</t>
  </si>
  <si>
    <t>RM-1c</t>
  </si>
  <si>
    <t>ACM-1d</t>
  </si>
  <si>
    <t>ID.AM-6</t>
  </si>
  <si>
    <t>WM-1a</t>
  </si>
  <si>
    <t>WM-1b</t>
  </si>
  <si>
    <t>WM-1c</t>
  </si>
  <si>
    <t>ID.BE-1</t>
  </si>
  <si>
    <t>EDM-1b</t>
  </si>
  <si>
    <t>EDM-1d</t>
  </si>
  <si>
    <t>EDM-1f</t>
  </si>
  <si>
    <t>ID.BE-2</t>
  </si>
  <si>
    <t>CPM-1c</t>
  </si>
  <si>
    <t>ID.BE-3</t>
  </si>
  <si>
    <t>ID.BE-5</t>
  </si>
  <si>
    <t>IR-4a</t>
  </si>
  <si>
    <t>IR-4b</t>
  </si>
  <si>
    <t>IR-4c</t>
  </si>
  <si>
    <t>IR-4e</t>
  </si>
  <si>
    <t>ID.GV-1</t>
  </si>
  <si>
    <t>CPM-2g</t>
  </si>
  <si>
    <t>CPM-5d</t>
  </si>
  <si>
    <t>RM-3e</t>
  </si>
  <si>
    <t>WM-2d</t>
  </si>
  <si>
    <t>WM-1e</t>
  </si>
  <si>
    <t>WM-1g</t>
  </si>
  <si>
    <t>CPM-2k</t>
  </si>
  <si>
    <t>ID.GV-4</t>
  </si>
  <si>
    <t>RM-2a</t>
  </si>
  <si>
    <t>RM-2b</t>
  </si>
  <si>
    <t>RM-2h</t>
  </si>
  <si>
    <t>RM-1e</t>
  </si>
  <si>
    <t>ID.RA-1</t>
  </si>
  <si>
    <t>TVM-2a</t>
  </si>
  <si>
    <t>TVM-2b</t>
  </si>
  <si>
    <t>TVM-2d</t>
  </si>
  <si>
    <t>TVM-2e</t>
  </si>
  <si>
    <t>TVM-2f</t>
  </si>
  <si>
    <t>RM-2j</t>
  </si>
  <si>
    <t>TVM-2i</t>
  </si>
  <si>
    <t>TVM-2k</t>
  </si>
  <si>
    <t>ID.RA-2</t>
  </si>
  <si>
    <t>TVM-1a</t>
  </si>
  <si>
    <t>TVM-1b</t>
  </si>
  <si>
    <t>ID.RA-3</t>
  </si>
  <si>
    <t>TVM-1d</t>
  </si>
  <si>
    <t>TVM-1e</t>
  </si>
  <si>
    <t>ID.RA-4</t>
  </si>
  <si>
    <t>TVM-1f</t>
  </si>
  <si>
    <t>ID.RA-5</t>
  </si>
  <si>
    <t>ID.RA-6</t>
  </si>
  <si>
    <t>RM-2e</t>
  </si>
  <si>
    <t>ID.RM-1</t>
  </si>
  <si>
    <t>RM-1a</t>
  </si>
  <si>
    <t>RM-2c</t>
  </si>
  <si>
    <t>RM-2d</t>
  </si>
  <si>
    <t>RM-3a</t>
  </si>
  <si>
    <t>RM-3c</t>
  </si>
  <si>
    <t>RM-1d</t>
  </si>
  <si>
    <t>RM-3h</t>
  </si>
  <si>
    <t>RM-3i</t>
  </si>
  <si>
    <t>ID.RM-2</t>
  </si>
  <si>
    <t>ID.RM-3</t>
  </si>
  <si>
    <t>EDM-2a</t>
  </si>
  <si>
    <t>EDM-2b</t>
  </si>
  <si>
    <t>EDM-2c</t>
  </si>
  <si>
    <t>EDM-2k</t>
  </si>
  <si>
    <t>ID.SC-2</t>
  </si>
  <si>
    <t>EDM-2d</t>
  </si>
  <si>
    <t>EDM-2e</t>
  </si>
  <si>
    <t>EDM-2f</t>
  </si>
  <si>
    <t>EDM-2g</t>
  </si>
  <si>
    <t>EDM-2h</t>
  </si>
  <si>
    <t>EDM-2m</t>
  </si>
  <si>
    <t>EDM-2n</t>
  </si>
  <si>
    <t>ID.SC-5</t>
  </si>
  <si>
    <t>IR-3e</t>
  </si>
  <si>
    <t>IR-4f</t>
  </si>
  <si>
    <t>IR-3j</t>
  </si>
  <si>
    <t>PR.AC-1</t>
  </si>
  <si>
    <t>IAM-1a</t>
  </si>
  <si>
    <t>IAM-1b</t>
  </si>
  <si>
    <t>IAM-1c</t>
  </si>
  <si>
    <t>IAM-1d</t>
  </si>
  <si>
    <t>IAM-1e</t>
  </si>
  <si>
    <t>IAM-1f</t>
  </si>
  <si>
    <t>IAM-1g</t>
  </si>
  <si>
    <t>PR.AC-2</t>
  </si>
  <si>
    <t>IAM-2a</t>
  </si>
  <si>
    <t>IAM-2b</t>
  </si>
  <si>
    <t>IAM-2c</t>
  </si>
  <si>
    <t>IAM-2d</t>
  </si>
  <si>
    <t>IAM-2e</t>
  </si>
  <si>
    <t>IAM-2f</t>
  </si>
  <si>
    <t>IAM-2g</t>
  </si>
  <si>
    <t>PR.AC-3</t>
  </si>
  <si>
    <t>PR.AC-4</t>
  </si>
  <si>
    <t>PR.AC-5</t>
  </si>
  <si>
    <t>CPM-3a</t>
  </si>
  <si>
    <t>CPM-3b</t>
  </si>
  <si>
    <t>CPM-3c</t>
  </si>
  <si>
    <t>PR.AC-6</t>
  </si>
  <si>
    <t>PR.AC-7</t>
  </si>
  <si>
    <t>WM-3a</t>
  </si>
  <si>
    <t>WM-4a</t>
  </si>
  <si>
    <t>WM-3b</t>
  </si>
  <si>
    <t>WM-3c</t>
  </si>
  <si>
    <t>WM-3d</t>
  </si>
  <si>
    <t>WM-3h</t>
  </si>
  <si>
    <t>WM-3i</t>
  </si>
  <si>
    <t>WM-1d</t>
  </si>
  <si>
    <t>PR.DS-1</t>
  </si>
  <si>
    <t>TVM-1c</t>
  </si>
  <si>
    <t>TVM-2c</t>
  </si>
  <si>
    <t>PR.DS-2</t>
  </si>
  <si>
    <t>ACM-3a</t>
  </si>
  <si>
    <t>ACM-3b</t>
  </si>
  <si>
    <t>ACM-3c</t>
  </si>
  <si>
    <t>ACM-3d</t>
  </si>
  <si>
    <t>ACM-4a</t>
  </si>
  <si>
    <t>ACM-4c</t>
  </si>
  <si>
    <t>ACM-3f</t>
  </si>
  <si>
    <t>ACM-4e</t>
  </si>
  <si>
    <t>PR.DS-4</t>
  </si>
  <si>
    <t>PR.DS-5</t>
  </si>
  <si>
    <t>TVM-2n</t>
  </si>
  <si>
    <t>PR.DS-6</t>
  </si>
  <si>
    <t>SA-2e</t>
  </si>
  <si>
    <t>SA-2i</t>
  </si>
  <si>
    <t>PR.DS-7</t>
  </si>
  <si>
    <t>ACM-3e</t>
  </si>
  <si>
    <t>PR.DS-8.DISABLED</t>
  </si>
  <si>
    <t>ACM-2a</t>
  </si>
  <si>
    <t>ACM-2b</t>
  </si>
  <si>
    <t>SA-1b</t>
  </si>
  <si>
    <t>ACM-2d</t>
  </si>
  <si>
    <t>PR.IP-1</t>
  </si>
  <si>
    <t>ACM-2c</t>
  </si>
  <si>
    <t>ACM-2e</t>
  </si>
  <si>
    <t>PR.IP-2</t>
  </si>
  <si>
    <t>PR.IP-3</t>
  </si>
  <si>
    <t>PR.IP-4</t>
  </si>
  <si>
    <t>PR.IP-6</t>
  </si>
  <si>
    <t>PR.IP-7</t>
  </si>
  <si>
    <t>CPM-1g</t>
  </si>
  <si>
    <t>PR.IP-8</t>
  </si>
  <si>
    <t>PR.IP-9</t>
  </si>
  <si>
    <t>IR-4d</t>
  </si>
  <si>
    <t>IR-5a</t>
  </si>
  <si>
    <t>IR-4i</t>
  </si>
  <si>
    <t>IR-4j</t>
  </si>
  <si>
    <t>IR-5e</t>
  </si>
  <si>
    <t>IR-5h</t>
  </si>
  <si>
    <t>IR-5i</t>
  </si>
  <si>
    <t>PR.IP-10</t>
  </si>
  <si>
    <t>WM-2a</t>
  </si>
  <si>
    <t>WM-2b</t>
  </si>
  <si>
    <t>WM-2c</t>
  </si>
  <si>
    <t>WM-2f</t>
  </si>
  <si>
    <t>WM-2h</t>
  </si>
  <si>
    <t>PR.IP-12</t>
  </si>
  <si>
    <t>TVM-3a</t>
  </si>
  <si>
    <t>TVM-3e</t>
  </si>
  <si>
    <t>PR.MA-1</t>
  </si>
  <si>
    <t>SA-1a</t>
  </si>
  <si>
    <t>PR.PT-1</t>
  </si>
  <si>
    <t>SA-2a</t>
  </si>
  <si>
    <t>SA-1c</t>
  </si>
  <si>
    <t>SA-4a</t>
  </si>
  <si>
    <t>SA-1d</t>
  </si>
  <si>
    <t>SA-4e</t>
  </si>
  <si>
    <t>IAM-3e</t>
  </si>
  <si>
    <t>IAM-2i</t>
  </si>
  <si>
    <t>PR.PT-4</t>
  </si>
  <si>
    <t>PR.PT-5</t>
  </si>
  <si>
    <t>DE.AE-1</t>
  </si>
  <si>
    <t>DE.AE-2</t>
  </si>
  <si>
    <t>IR-1f</t>
  </si>
  <si>
    <t>IR-2i</t>
  </si>
  <si>
    <t>IR-3h</t>
  </si>
  <si>
    <t>DE.AE-3</t>
  </si>
  <si>
    <t>IR-1e</t>
  </si>
  <si>
    <t>DE.AE-4</t>
  </si>
  <si>
    <t>IR-2b</t>
  </si>
  <si>
    <t>IR-2d</t>
  </si>
  <si>
    <t>IR-2g</t>
  </si>
  <si>
    <t>DE.AE-5</t>
  </si>
  <si>
    <t>IR-2a</t>
  </si>
  <si>
    <t>SA-2d</t>
  </si>
  <si>
    <t>DE.CM-1</t>
  </si>
  <si>
    <t>SA-2b</t>
  </si>
  <si>
    <t>SA-2f</t>
  </si>
  <si>
    <t>SA-2g</t>
  </si>
  <si>
    <t>DE.CM-2</t>
  </si>
  <si>
    <t>DE.CM-3</t>
  </si>
  <si>
    <t>Sa-2e</t>
  </si>
  <si>
    <t>DE.CM-4</t>
  </si>
  <si>
    <t>CPM-4a</t>
  </si>
  <si>
    <t>DE.CM-7</t>
  </si>
  <si>
    <t>DE.CM-8</t>
  </si>
  <si>
    <t>DE.DP-2</t>
  </si>
  <si>
    <t>IR-1d</t>
  </si>
  <si>
    <t>IR-1g</t>
  </si>
  <si>
    <t>DE.DP-3</t>
  </si>
  <si>
    <t>DE.DP-4</t>
  </si>
  <si>
    <t>IR-1b</t>
  </si>
  <si>
    <t>IR-3c</t>
  </si>
  <si>
    <t>DE.DP-5</t>
  </si>
  <si>
    <t>RS.RP-1</t>
  </si>
  <si>
    <t>IR-3d</t>
  </si>
  <si>
    <t>RS.CO-1</t>
  </si>
  <si>
    <t>IR-3a</t>
  </si>
  <si>
    <t>RS.CO-2</t>
  </si>
  <si>
    <t>RS.CO-3</t>
  </si>
  <si>
    <t>IR-3i</t>
  </si>
  <si>
    <t>RS.CO-4</t>
  </si>
  <si>
    <t>RS.CO-5</t>
  </si>
  <si>
    <t>RS.AN-1</t>
  </si>
  <si>
    <t>RS.AN-2</t>
  </si>
  <si>
    <t>RS.AN-3</t>
  </si>
  <si>
    <t>RS.AN-4</t>
  </si>
  <si>
    <t>RS.AN-5</t>
  </si>
  <si>
    <t>TVM-2h</t>
  </si>
  <si>
    <t>RS.MI-1</t>
  </si>
  <si>
    <t>IR-3b</t>
  </si>
  <si>
    <t>RS.MI-2</t>
  </si>
  <si>
    <t>RS.MI-3</t>
  </si>
  <si>
    <t>RS.IM-1</t>
  </si>
  <si>
    <t>RS.IM-2</t>
  </si>
  <si>
    <t>RC.RP-1</t>
  </si>
  <si>
    <t>RC.IM-1</t>
  </si>
  <si>
    <t>RC.IM-2</t>
  </si>
  <si>
    <t>RC.CO-1</t>
  </si>
  <si>
    <t>RC.CO-2</t>
  </si>
  <si>
    <t>RC.CO-3</t>
  </si>
  <si>
    <t>ID.AM</t>
  </si>
  <si>
    <t>ID.BE</t>
  </si>
  <si>
    <t>ID.GV</t>
  </si>
  <si>
    <t>ID.RA</t>
  </si>
  <si>
    <t>ID.RM</t>
  </si>
  <si>
    <t>ID.SC</t>
  </si>
  <si>
    <t>PR.AC</t>
  </si>
  <si>
    <t>PR.AT</t>
  </si>
  <si>
    <t>PR.DS</t>
  </si>
  <si>
    <t>PR.DS-8</t>
  </si>
  <si>
    <t>PR.IP</t>
  </si>
  <si>
    <t>PR.MA</t>
  </si>
  <si>
    <t>PR.PT</t>
  </si>
  <si>
    <t>DE.AE</t>
  </si>
  <si>
    <t>DE.CM</t>
  </si>
  <si>
    <t>DE.DP</t>
  </si>
  <si>
    <t>RS.RP</t>
  </si>
  <si>
    <t>RS.CO</t>
  </si>
  <si>
    <t>RS.AN</t>
  </si>
  <si>
    <t>RS.MI</t>
  </si>
  <si>
    <t>RS.IM</t>
  </si>
  <si>
    <t>RC.RP</t>
  </si>
  <si>
    <t>RC.IM</t>
  </si>
  <si>
    <t>RC.CO</t>
  </si>
  <si>
    <t>Suomi</t>
  </si>
  <si>
    <t>English</t>
  </si>
  <si>
    <t>Svenska</t>
  </si>
  <si>
    <t>Valitse kieli / Välj språk / Choose language</t>
  </si>
  <si>
    <t>KYBERMITTARI-0</t>
  </si>
  <si>
    <t>1. Mild systemic impact</t>
  </si>
  <si>
    <t>1. Vähäinen systeeminen vaikutus</t>
  </si>
  <si>
    <t>3. Crippling systemic impact</t>
  </si>
  <si>
    <t>3. Rampauttava systeeminen vaikutus</t>
  </si>
  <si>
    <t>Scenario</t>
  </si>
  <si>
    <t>NIST-ID</t>
  </si>
  <si>
    <t>NIST-PR</t>
  </si>
  <si>
    <t>NIST-DE</t>
  </si>
  <si>
    <t>NIST-RS</t>
  </si>
  <si>
    <t>NIST-RC</t>
  </si>
  <si>
    <t>Kyberturvallisuuden arviointityökalu</t>
  </si>
  <si>
    <t>Function</t>
  </si>
  <si>
    <t>Description</t>
  </si>
  <si>
    <t>Subcategory</t>
  </si>
  <si>
    <t>Total implemented</t>
  </si>
  <si>
    <t># of controls</t>
  </si>
  <si>
    <t>Maturity level 1</t>
  </si>
  <si>
    <t>Maturity level 2</t>
  </si>
  <si>
    <t>Maturity level 3</t>
  </si>
  <si>
    <t>Identify</t>
  </si>
  <si>
    <t xml:space="preserve">Asset Management </t>
  </si>
  <si>
    <t>The data, personnel, devices, systems, and facilities that enable the organization to achieve business purposes are identified and managed consistent with their relative importance to organizational objectives and the organization’s risk strategy.</t>
  </si>
  <si>
    <t>Physical devices and systems within the organization are inventoried</t>
  </si>
  <si>
    <t/>
  </si>
  <si>
    <t>Software platforms and applications within the organization are inventoried</t>
  </si>
  <si>
    <t>Organizational communication and data flows are mapped</t>
  </si>
  <si>
    <t>External information systems are catalogued</t>
  </si>
  <si>
    <t xml:space="preserve">Resources (e.g., hardware, devices, data, time, personnel, and software) are prioritized based on their classification, criticality, and business value </t>
  </si>
  <si>
    <t>Cybersecurity roles and responsibilities for the entire workforce and third-party stakeholders (e.g., suppliers, customers, partners) are established</t>
  </si>
  <si>
    <t xml:space="preserve">Business Environment </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</si>
  <si>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</si>
  <si>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</si>
  <si>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</si>
  <si>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</si>
  <si>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</si>
  <si>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</si>
  <si>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 xml:space="preserve">Governance </t>
  </si>
  <si>
    <t>The policies, procedures, and processes to manage and monitor the organization’s regulatory, legal, risk, environmental, and operational requirements are understood and inform the management of cybersecurity risk.</t>
  </si>
  <si>
    <t>Organizational cybersecurity policy is established and communicated</t>
  </si>
  <si>
    <t>Cybersecurity roles and responsibilities are coordinated and aligned with internal roles and external partners</t>
  </si>
  <si>
    <t>Legal and regulatory requirements regarding cybersecurity, including privacy and civil liberties obligations, are understood and managed</t>
  </si>
  <si>
    <t>Governance and risk management processes address cybersecurity risks</t>
  </si>
  <si>
    <t xml:space="preserve">Risk Assessment </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</si>
  <si>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</si>
  <si>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</si>
  <si>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</si>
  <si>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</si>
  <si>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</si>
  <si>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</si>
  <si>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</si>
  <si>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 xml:space="preserve">Risk Management Strategy </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</si>
  <si>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</si>
  <si>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</si>
  <si>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</si>
  <si>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</si>
  <si>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 xml:space="preserve">Supply Chain Risk Management </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</si>
  <si>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</si>
  <si>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</si>
  <si>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</si>
  <si>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</si>
  <si>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</si>
  <si>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Response and recovery planning and testing are conducted with suppliers and third-party providers</t>
  </si>
  <si>
    <t>Protect</t>
  </si>
  <si>
    <t xml:space="preserve">Identity Management, Authentication and Access Control </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</si>
  <si>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</si>
  <si>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</si>
  <si>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</si>
  <si>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</si>
  <si>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</si>
  <si>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Network integrity is protected (e.g., network segregation, network segmentation)</t>
  </si>
  <si>
    <t>Identities are proofed and bound to credentials and asserted in interactions</t>
  </si>
  <si>
    <t>Users, devices, and other assets are authenticated (e.g., single-factor, multi-factor) commensurate with the risk of the transaction (e.g., individuals’ security and privacy risks and other organizational risks)</t>
  </si>
  <si>
    <t xml:space="preserve">Awareness and Training </t>
  </si>
  <si>
    <t>The organization’s personnel and partners are provided cybersecurity awareness education and are trained to perform their cybersecurity-related duties and responsibilities consistent with related policies, procedures, and agreements.</t>
  </si>
  <si>
    <t xml:space="preserve">All users are informed and trained </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</si>
  <si>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</si>
  <si>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</si>
  <si>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</si>
  <si>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</si>
  <si>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 xml:space="preserve">Data Security </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</si>
  <si>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</si>
  <si>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</si>
  <si>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</si>
  <si>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</si>
  <si>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</si>
  <si>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</si>
  <si>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</si>
  <si>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</si>
  <si>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</si>
  <si>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 xml:space="preserve">Information Protection Processes and Procedures </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</si>
  <si>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</si>
  <si>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</si>
  <si>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A System Development Life Cycle to manage systems is implemented</t>
  </si>
  <si>
    <t>Configuration change control processes are in place</t>
  </si>
  <si>
    <t xml:space="preserve">Backups of information are conducted, maintained, and tested </t>
  </si>
  <si>
    <t>Policy and regulations regarding the physical operating environment for organizational assets are met</t>
  </si>
  <si>
    <t>Data is destroyed according to policy</t>
  </si>
  <si>
    <t>Protection processes are improved</t>
  </si>
  <si>
    <t xml:space="preserve">Effectiveness of protection technologies is shared </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</si>
  <si>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</si>
  <si>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</si>
  <si>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</si>
  <si>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</si>
  <si>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 xml:space="preserve">Maintenance </t>
  </si>
  <si>
    <t>Maintenance and repairs of industrial control and information system components are performed consistent with policies and procedures.</t>
  </si>
  <si>
    <t>Maintenance and repair of organizational assets are performed and logged, with approved and controlled tools</t>
  </si>
  <si>
    <t>Remote maintenance of organizational assets is approved, logged, and performed in a manner that prevents unauthorized access</t>
  </si>
  <si>
    <t xml:space="preserve">Protective Technology </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</si>
  <si>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</si>
  <si>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</si>
  <si>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</si>
  <si>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</si>
  <si>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</si>
  <si>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Mechanisms (e.g., failsafe, load balancing, hot swap) are implemented to achieve resilience requirements in normal and adverse situations</t>
  </si>
  <si>
    <t>Detect</t>
  </si>
  <si>
    <t xml:space="preserve">Anomalies and Events </t>
  </si>
  <si>
    <t>Anomalous activity is detected and the potential impact of events is understood.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</si>
  <si>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</si>
  <si>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</si>
  <si>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</si>
  <si>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</si>
  <si>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</si>
  <si>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 xml:space="preserve">Security Continuous Monitoring </t>
  </si>
  <si>
    <t>The information system and assets are monitored to identify cybersecurity events and verify the effectiveness of protective measures.</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</si>
  <si>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</si>
  <si>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</si>
  <si>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</si>
  <si>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</si>
  <si>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</si>
  <si>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</si>
  <si>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</si>
  <si>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</si>
  <si>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 xml:space="preserve">Detection Processes </t>
  </si>
  <si>
    <t>Detection processes and procedures are maintained and tested to ensure awareness of anomalous events.</t>
  </si>
  <si>
    <t>Roles and responsibilities for detection are well defined to ensure accountability</t>
  </si>
  <si>
    <t>Detection activities comply with all applicable requirements</t>
  </si>
  <si>
    <t>Detection processes are tested</t>
  </si>
  <si>
    <t>Event detection information is communicated</t>
  </si>
  <si>
    <t>Detection processes are continuously improved</t>
  </si>
  <si>
    <t>Respond</t>
  </si>
  <si>
    <t xml:space="preserve">Response Planning </t>
  </si>
  <si>
    <t>Response processes and procedures are executed and maintained, to ensure response to detected cybersecurity incidents.</t>
  </si>
  <si>
    <t>Response plan is executed during or after an incident</t>
  </si>
  <si>
    <t xml:space="preserve">Communications </t>
  </si>
  <si>
    <t>Response activities are coordinated with internal and external stakeholders (e.g. external support from law enforcement agencies).</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</si>
  <si>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</si>
  <si>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</si>
  <si>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</si>
  <si>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</si>
  <si>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 xml:space="preserve">Voluntary information sharing occurs with external stakeholders to achieve broader cybersecurity situational awareness </t>
  </si>
  <si>
    <t xml:space="preserve">Analysis </t>
  </si>
  <si>
    <t>Analysis is conducted to ensure effective response and support recovery activities.</t>
  </si>
  <si>
    <t>Notifications from detection systems are investigated </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</si>
  <si>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</si>
  <si>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</si>
  <si>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</si>
  <si>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</si>
  <si>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 xml:space="preserve">Mitigation </t>
  </si>
  <si>
    <t>Activities are performed to prevent expansion of an event, mitigate its effects, and resolve the incident.</t>
  </si>
  <si>
    <t>Incidents are contained</t>
  </si>
  <si>
    <t>Incidents are mitigated</t>
  </si>
  <si>
    <t>Newly identified vulnerabilities are mitigated or documented as accepted risks</t>
  </si>
  <si>
    <t xml:space="preserve">Improvements </t>
  </si>
  <si>
    <t>Organizational response activities are improved by incorporating lessons learned from current and previous detection/response activities.</t>
  </si>
  <si>
    <t>Response plans incorporate lessons learned</t>
  </si>
  <si>
    <t>Response strategies are updated</t>
  </si>
  <si>
    <t>Recover</t>
  </si>
  <si>
    <t xml:space="preserve">Recovery Planning </t>
  </si>
  <si>
    <t>Recovery processes and procedures are executed and maintained to ensure restoration of systems or assets affected by cybersecurity incidents.</t>
  </si>
  <si>
    <t xml:space="preserve">Recovery plan is executed during or after a cybersecurity incident </t>
  </si>
  <si>
    <t>Recovery planning and processes are improved by incorporating lessons learned into future activities.</t>
  </si>
  <si>
    <t>Recovery plans incorporate lessons learned</t>
  </si>
  <si>
    <t>Recovery strategies are updated</t>
  </si>
  <si>
    <t>Restoration activities are coordinated with internal and external parties (e.g.  coordinating centers, Internet Service Providers, owners of attacking systems, victims, other CSIRTs, and vendors).</t>
  </si>
  <si>
    <t>Public relations are managed</t>
  </si>
  <si>
    <t xml:space="preserve">Reputation is repaired after an incident </t>
  </si>
  <si>
    <t>Recovery activities are communicated to internal and external stakeholders as well as executive and management teams</t>
  </si>
  <si>
    <t>KM50</t>
  </si>
  <si>
    <t>KM60</t>
  </si>
  <si>
    <t>KM61</t>
  </si>
  <si>
    <t>INVEST</t>
  </si>
  <si>
    <t>MGMT-ID-0</t>
  </si>
  <si>
    <t>Organization has a very limited capability to identify and manage cyber security risks to systems, people, assets, data and critical services. This typically leads to ineffectual resource and cost allocation and to failing to protect the critical services that the organization or external parties are dependent on. There is a high possibility of an unexpected cyber incident taking place that seriously impacts the core processes of the organization.</t>
  </si>
  <si>
    <t>Organisaatiolla on hyvin rajoittunut kyky tunnistaa ja hallita kyberturvallisuusriskejä järjestelmiin, henkilöstöön, suojattaviin kohteisiin, tietoihin ja kriittisiin palveluihin liittyen. Tyypillisesti tämä johtaa resurssien ja investointien tehottomaan kohdentamiseen sekä epäonnistumiseen niiden kriittisten palveluiden suojaamisessa, joista organisaatio tai ulkoiset tahot ovat riippuvaisia. On olemassa korkea todennäköisyys odottamattomaan kyberturvallisuushäiriöön, joka vaikuttaa merkittävästi organisaation ydinprosesseihin.</t>
  </si>
  <si>
    <t>MGMT-ID-1</t>
  </si>
  <si>
    <t>Organization has a basic capability to identify and manage cyber security risks to systems, people, assets, data and critical services, but it may not be systematic and may not take into account the full business context or organization's context in the society, and therefore may still fail to identify and manage some important risks. This typically means that at least part of the resources are used non-optimally and actions may fail to address the most important cyber risks.</t>
  </si>
  <si>
    <t>MGMT-ID-2</t>
  </si>
  <si>
    <t>Organization has a good capability to identify and manage cyber security risks to systems, people, assets, data and critical services, but some weak areas exist. This typically means that some unmitigated cyber risks remain that weaken the overall resiliency of the organization.</t>
  </si>
  <si>
    <t>Organisaatiolla on hyvä kyvykkyys tunnistaa ja hallita kyberturvallisuusriskejä järjestelmiin, henkilöstöön, suojattaviin kohteisiin, tietoihin ja kriittisiin palveluihin liittyen, mutta joitain heikompia osa-alueita myös löytyy. Tyypillisesti tämä tarkoittaa sitä, että joitain kyberturvallisuusriskejä ei ole hallittu ja tämä heikentää organisaation yleistä toipumiskykyä.</t>
  </si>
  <si>
    <t>MGMT-ID-3</t>
  </si>
  <si>
    <t>Organization has an excellent capability to identify and manage cyber security risks to systems, people, assets, data and critical services. This typically means that the actions and resources are optimally targeted based on the criticality and risks. It is unlikely that the organization will be faced with previously unidentified cyber incidents.</t>
  </si>
  <si>
    <t>Organisaatiolla on erinomainen kyvykkyys tunnistaa ja hallita kyberturvallisuusriskejä järjestelmiin, henkilöstöön, suojattaviin kohteisiin, tietoihin ja kriittisiin palveluihin liittyen. Tyypillisesti tämä tarkoittaa, että tehtävät toimenpiteet ja resurssit ovat optimaalisesti kohdistettu kriittisyyden ja riskien perusteella. On epätodennäköistä, että organisaatio kohtaisi aikaisemmin tunnistamattomia kyberturvallisuushäiriöitä.</t>
  </si>
  <si>
    <t>MGMT-PR-0</t>
  </si>
  <si>
    <t>Organization has a very limited capability to protect its critical services from cyber security threats and incidents. This typically means that the organization will have a large number of incidents and/or their impact is significantly higher than necessary, leading to unnecessarily high brand damage, costs and internal and external impact. This is emphasised even further if the detection capability is low.</t>
  </si>
  <si>
    <t>MGMT-PR-1</t>
  </si>
  <si>
    <t>Organization has a basic capability to protect its critical services from cyber security threats and incidents, but its coverage is not systematic, having several weak control areas. This typically means that the protection activities may not be targeted and scaled based on the criticality of service or information, leading on one hand to wasteful allocation of resources and money, and on the other hand to not protecting all critical services.</t>
  </si>
  <si>
    <t>MGMT-PR-2</t>
  </si>
  <si>
    <t>Organization has a good capability to protect its critical services from cyber security threats and incidents, but it still has some weak control areas. This typically means that while all critical services and information may be covered, the implementation leaves grey areas or gaps in the protection, leading to unnecessarily high cost and number of incidents.</t>
  </si>
  <si>
    <t>MGMT-PR-3</t>
  </si>
  <si>
    <t xml:space="preserve">Organization has an excellent capability to protect its critical services from the cyber security threats and incidents, covering all major aspects of the business. This typically means that there are significantly less incidents and their internal and external impact is smaller, leading to lower costs and impact on brand damage. </t>
  </si>
  <si>
    <t>Organisaatiolla on erinomainen kyvykkyys suojella sen kriittisiä palveluita kyberturvallisuusuhilta ja -häiriöiltä kaikilla sen merkittävillä liiketoiminta-alueilla. Tyypillisesti tämä tarkoittaa, että organisaatiossa tapahtuu vähemmän häiriöitä ja niiden sisäiset ja ulkoiset vaikutukset ovat pienempiä, joka johtaa pienempiin kustannuksiin ja mainehaittoihin.</t>
  </si>
  <si>
    <t>MGMT-DE-0</t>
  </si>
  <si>
    <t>Organization has a very limited capability to detect cyber incidents as they happen. Typically this means that response activities are delayed significantly and happen after major breach and damage an attacker wants to cause will realize in full.</t>
  </si>
  <si>
    <t>MGMT-DE-1</t>
  </si>
  <si>
    <t xml:space="preserve">Organization has a basic capability to collect data, but the ability to detect cyber incidents is hampered by the data quality and coverage and also by the analysis capablity. Typically this means that response is delayed and the actions are not based on full understanding of the situation, leaving the organization exposed to major breaches and damage despite of the initiated response. </t>
  </si>
  <si>
    <t>MGMT-DE-2</t>
  </si>
  <si>
    <t>Organization has a good capability to collect and analyse the data needed to detect a cyber incident in a timely fashion and to maintain a reasonable level of situational awareness. This typically means that there is a good possibility to initiate the response while the incident is still ongoing, and that the actions are scaled correctly. This can enable the organization to limit the damages although not avoid them completely.</t>
  </si>
  <si>
    <t>Organisaatiolla on hyvä kyvykkyys kerätä ja analysoida tietoja kyberturvallisuushäiriöiden tunnistamiseksi ajoissa ja riittävän tilannekuvan ylläpitämiseksi. Tyypillisesti tämä tarkoittaa, että on olemassa hyvä todennäköisyys torjuntatoimenpiteiden aloittamiselle häiriön ollessa käynnissä ja, että torjuntatoimenpiteet ovat oikein mitoitettuja. Tämän avulla organisaation on mahdollista rajoittaa haittoja vaikka niitä ei voitaisi kokonaan estää.</t>
  </si>
  <si>
    <t>MGMT-DE-3</t>
  </si>
  <si>
    <t>Organization has an excellent capability to collect, correlate and analyze relevant data. Typically this means that  cyber incidents are detected early, which makes it possible to initiate response quickly. As a result, the organization has good possibilities to limit or even prevent the damage as the attack is happening.</t>
  </si>
  <si>
    <t>Organisaatiolla on erinomainen kyvykkyys kerätä, korreloida ja analysoida häiriöiden kannalta olennaisia tietoja. Tyypillisesti tämä tarkoittaa, että kyberturvallisuushäiriöt havainnoidaan ajoissa, mikä mahdollistaa nopean reagoinnin. Tämän seurauksena organisaatiolla on hyvät mahdollisuudet rajoittaa tai jopa estää vahingot samanaikaisesti kuin hyökkäys tapahtuu.</t>
  </si>
  <si>
    <t>MGMT-RS-0</t>
  </si>
  <si>
    <t>Organization has a very limited capability to initiate a timely and coordinated response to a cyber incident. Typically this means that even if detection has been done early, it is still likely that the breach and damage cannot be prevented or limited.</t>
  </si>
  <si>
    <t>MGMT-RS-1</t>
  </si>
  <si>
    <t>Organization has a basic capability to initiate a timely response to a cyber incident, but the process may not be well coordinated and rehearsed. Typically this means that even if the detection has been done early, it is still likely that the response is not able to contain the breach and damage.</t>
  </si>
  <si>
    <t>Organisaatiolla on peruskyvykkyys aloittaa oikea-aikaiset torjuntatoimenpiteet kyberhyökkäyksiin vastaamiseksi, mutta prosessi ei välttämättä ole hyvin koordinoitu ja harjoiteltu. Tyypillisesti tämä tarkoittaa, että vaikka hyökkäys on tunnistettu ajoissa on edelleen todennäköistä, että torjuntatoimenpiteet eivät estä tai rajoita hyökkäystä ja sen aiheuttamia vahinkoja.</t>
  </si>
  <si>
    <t>MGMT-RS-2</t>
  </si>
  <si>
    <t>Organization has a good capability to initiate a timely and coordinated response to a cyber incident. Typically this means that if the detection has been done early, it is possible that the breach and damage can be contained at least to some extent.</t>
  </si>
  <si>
    <t>MGMT-RS-3</t>
  </si>
  <si>
    <t xml:space="preserve">Organization has an excellent capability to initiate a timely and coordinated response to a cyber incident. This typically means that if the detection is done early, it is likely that the breach and damage can be contained and in some cases even prevented. </t>
  </si>
  <si>
    <t>MGMT-RC-0</t>
  </si>
  <si>
    <t>Organization has a very limited capability to initiate and execute recovery from the damage caused by a cyber incident. This typically means that the recovery will take unnecessarily long and therefore may significantly increase the brand damage, cost and impact of the incident.</t>
  </si>
  <si>
    <t>MGMT-RC-1</t>
  </si>
  <si>
    <t>Organization has a basic capability to initiate and execute recovery from the damage caused by a cyber incident. This typically means that recovery may not cover all aspects of the business,  may not be executed in the optimal order, or the recovery speed may not fulfill the business needs, leading to brand damage, costs and impact that would otherwise be possible to avoid.</t>
  </si>
  <si>
    <t>MGMT-RC-2</t>
  </si>
  <si>
    <t>Organization has a good capability to initiate a timely and coordinated recovery from the damage caused by a cyber incident. This typically means that the recovery is able to keep the brand damage, costs and impact within acceptable level, in most cases.</t>
  </si>
  <si>
    <t>Organisaatiolla on hyvä kyvykkyys käynnistää ja toteuttaa tarvittavat palautumistoimenpiteet kyberhyökkäyksestä toipumiseen. Tyypillisesti tämä tarkoittaa, että organisaation on mahdollista pitää syntyvä mainehaitta, kustannukset ja häiriön aiheuttamat vaikutukset hyväksytyllä tasolla, suurimmassa osassa tapauksia.</t>
  </si>
  <si>
    <t>MGMT-RC-3</t>
  </si>
  <si>
    <t>Organization has an excellent capability to initiate and execute recovery from the damage caused by a cyber incident. This typically means that the recovery can be done in a predictable time and in an optimal order, making it possible in some cases to significantly reduce the brand damage, cost and impact of the incident.</t>
  </si>
  <si>
    <t>Organisaatiolla on erinomainen kyvykkyys käynnistää ja toteuttaa tarvittavat palautumistoimenpiteet kyberhyökkäyksestä toipumiseen. Tyypillisesti tämä tarkoittaa, että palautumistoimenpiteet saadaan tehtyä ennustettavassa ajassa ja optimaalisessa järjestyksessä. Tämä mahdollistaa jossain tapauksissa häiriön aiheuttamien mainehaittojen, kustannusten ja muiden vaikutusten pienentämisen.</t>
  </si>
  <si>
    <t>2. Significant systemic impact</t>
  </si>
  <si>
    <t>Exporting results</t>
  </si>
  <si>
    <t>Management report (R1)</t>
  </si>
  <si>
    <t>TotMIL</t>
  </si>
  <si>
    <t>Kokonaisarvio</t>
  </si>
  <si>
    <t>Yhteyshenkilö</t>
  </si>
  <si>
    <t>Arvioinnin vetäjä</t>
  </si>
  <si>
    <t>Toiminto</t>
  </si>
  <si>
    <t>CRITICAL-0</t>
  </si>
  <si>
    <t>CRITICAL-1-0</t>
  </si>
  <si>
    <t>CRITICAL-2-0</t>
  </si>
  <si>
    <t>CRITICAL-3-0</t>
  </si>
  <si>
    <t>Vertailutulokset</t>
  </si>
  <si>
    <t>Kyberturvallisuuden investointien taso</t>
  </si>
  <si>
    <t>Aiemmat arviointitulokset</t>
  </si>
  <si>
    <t>Arviointitulosten vienti</t>
  </si>
  <si>
    <t>C_name</t>
  </si>
  <si>
    <t>C_industry</t>
  </si>
  <si>
    <t>C_function</t>
  </si>
  <si>
    <t>C_securityclass</t>
  </si>
  <si>
    <t>Yhteensä (x 1 000 €)</t>
  </si>
  <si>
    <t>Ohjelmisto-lisenssit</t>
  </si>
  <si>
    <t>Laite-investoinnit</t>
  </si>
  <si>
    <t>Tiedon luokittelu</t>
  </si>
  <si>
    <t>Finanssiala</t>
  </si>
  <si>
    <t>Elintarvike - Alkutuotanto</t>
  </si>
  <si>
    <t>Elintarvike - Elintarviketeollisuus</t>
  </si>
  <si>
    <t>Elintarvike - Kauppa ja jakelu</t>
  </si>
  <si>
    <t>Elintarvike - Muu</t>
  </si>
  <si>
    <t>Energia - Voimatalous</t>
  </si>
  <si>
    <t>Energia - Öljy</t>
  </si>
  <si>
    <t>Energia - Muu</t>
  </si>
  <si>
    <t>Finanssi - Rahoitushuolto</t>
  </si>
  <si>
    <t>Finanssi - Vakuutusala</t>
  </si>
  <si>
    <t>Finanssi - Muu</t>
  </si>
  <si>
    <t>Logistiikka - Ilmakuljetus</t>
  </si>
  <si>
    <t>Logistiikka - Maakuljetus</t>
  </si>
  <si>
    <t>Logistiikka - Vesikuljetus</t>
  </si>
  <si>
    <t>Logistiikka - Muu</t>
  </si>
  <si>
    <t>Terveys - Terveydenhuolto</t>
  </si>
  <si>
    <t>Terveys - Vesihuolto</t>
  </si>
  <si>
    <t>Terveys - Muu</t>
  </si>
  <si>
    <t>Tieto - Digi</t>
  </si>
  <si>
    <t>Tieto - Media</t>
  </si>
  <si>
    <t>Tieto - Muu</t>
  </si>
  <si>
    <t>Kriit. teollisuus - Kemia</t>
  </si>
  <si>
    <t>Kriit. teollisuus - Metsä</t>
  </si>
  <si>
    <t>Kriit. teollisuus - MIL</t>
  </si>
  <si>
    <t>Kriit. teollisuus - Muovi ja kumi</t>
  </si>
  <si>
    <t>Kriit. teollisuus - Rakennus</t>
  </si>
  <si>
    <t>Kriit. teollisuus - Teknologia</t>
  </si>
  <si>
    <t>Kriit. teollisuus - Muu</t>
  </si>
  <si>
    <t>Ei hvk-toiminto</t>
  </si>
  <si>
    <t>Kypsyystaso 0</t>
  </si>
  <si>
    <t>Kypsyystaso 3</t>
  </si>
  <si>
    <t>Kypsyystasolle 1 vaadittavia toimenpiteitä</t>
  </si>
  <si>
    <t>Organisaation nykytila</t>
  </si>
  <si>
    <t>Kypsyystaso 1</t>
  </si>
  <si>
    <t>Kypsyystaso 2</t>
  </si>
  <si>
    <t>Organisaation edellinen arviointi</t>
  </si>
  <si>
    <t>Organisation</t>
  </si>
  <si>
    <t>Facilitator</t>
  </si>
  <si>
    <t>Security classification</t>
  </si>
  <si>
    <t>Level of cybersecurity investments</t>
  </si>
  <si>
    <t>KM51</t>
  </si>
  <si>
    <t>KM52</t>
  </si>
  <si>
    <t>KM53</t>
  </si>
  <si>
    <t>KM54</t>
  </si>
  <si>
    <t>KM55</t>
  </si>
  <si>
    <t>KM56</t>
  </si>
  <si>
    <t>KM58</t>
  </si>
  <si>
    <t>KM59</t>
  </si>
  <si>
    <t>Previous results</t>
  </si>
  <si>
    <t>Reference results</t>
  </si>
  <si>
    <t>INVEST-10</t>
  </si>
  <si>
    <t>INVEST-01</t>
  </si>
  <si>
    <t>INVEST-02</t>
  </si>
  <si>
    <t>INVEST-03</t>
  </si>
  <si>
    <t>INVEST-04</t>
  </si>
  <si>
    <t>INVEST-05</t>
  </si>
  <si>
    <t>INVEST-06</t>
  </si>
  <si>
    <t>INVEST-07</t>
  </si>
  <si>
    <t>INVEST-08</t>
  </si>
  <si>
    <t>INVEST-09</t>
  </si>
  <si>
    <t>INVEST-11</t>
  </si>
  <si>
    <t>Personnel (internal)</t>
  </si>
  <si>
    <t>Consultancy</t>
  </si>
  <si>
    <t>Services</t>
  </si>
  <si>
    <t>Software licenses</t>
  </si>
  <si>
    <t>Hardware invest.</t>
  </si>
  <si>
    <t>Total</t>
  </si>
  <si>
    <t>Planned</t>
  </si>
  <si>
    <t>Total (x 1 000 €)</t>
  </si>
  <si>
    <t>0 - Not answered</t>
  </si>
  <si>
    <t>1 - Not applied</t>
  </si>
  <si>
    <t>2 - Partially applied</t>
  </si>
  <si>
    <t>3 - Mostly applied</t>
  </si>
  <si>
    <t>4 - Fully applied</t>
  </si>
  <si>
    <t>Ref</t>
  </si>
  <si>
    <t>MIL 0</t>
  </si>
  <si>
    <t>MIL 1</t>
  </si>
  <si>
    <t>MIL 2</t>
  </si>
  <si>
    <t>MIL 3</t>
  </si>
  <si>
    <t>GEN-TOTAL</t>
  </si>
  <si>
    <t>Overall level</t>
  </si>
  <si>
    <t>Parameter</t>
  </si>
  <si>
    <t xml:space="preserve">Avaintenhallintainfrastruktuuri (esim. avainten luonti, säilytys, tuhoaminen, päivittäminen ja kumoaminen) on määritetty ja toteutettu tiedon suojaamiseksi talletuksen ja siirron aikana. </t>
  </si>
  <si>
    <t>Suojattavan omaisuuden konfiguraation hallinta</t>
  </si>
  <si>
    <t>Rekisteröityihin suojattaviin kohteisiin tehtävät muutokset testataan ennen toteutusta aina kun mahdollista.</t>
  </si>
  <si>
    <t>Rekisteröityihin suojattaviin kohteisiin tehtävien muutosten vaikutukset kyberturvallisuuteen testataan ennen toteutusta.</t>
  </si>
  <si>
    <t>Yhteisen operatiivisen tilannekuvan ydin on tilanteen kommunikointi olennaisille päätöksentekijöille ymmärrettävästi. Vaikka useat yhteisen operatiivisen tilannekuvan toteutukset saattavat sisältää visuaalisia elementtejä (esim. hallintapaneelit, kartat tai muut graafiset käyttöliittymät), ne eivät ole pakollisia tavoitteiden saavuttamiseksi. Organisaatiot voivat myös käyttää muita tapoja tilannekuvan viestimiseen.</t>
  </si>
  <si>
    <t>Tilannekuvan laadun parantamiseksi käytössä on prosessi, jolla vastaanotettu kyberturvallisuustieto analysoidaan ja tietomassassa mahdollisesti olevat päällekkäisyydet poistetaan.</t>
  </si>
  <si>
    <t>Root privileges, administrative access, emergency access, and shared accounts receive additional scrutiny and monitoring</t>
  </si>
  <si>
    <t>Identiteetin- ja pääsynhallinta</t>
  </si>
  <si>
    <t>Käyttöoikeuksien hallinta</t>
  </si>
  <si>
    <t>Cybersecurity requirements are established for suppliers according to a defined practice, including requirements for secure software development practices where appropriate</t>
  </si>
  <si>
    <t>Evaluation and selection of suppliers and other external entities includes consideration of their ability to meet cybersecurity requirements</t>
  </si>
  <si>
    <t>Agreements with suppliers require notification of cybersecurity incidents related to the delivery of the product or service</t>
  </si>
  <si>
    <t>Suppliers and other external entities are periodically reviewed for their ability to continually meet the cybersecurity requirements</t>
  </si>
  <si>
    <t>Name</t>
  </si>
  <si>
    <t>Nimi</t>
  </si>
  <si>
    <t>Sector</t>
  </si>
  <si>
    <t>Contact person</t>
  </si>
  <si>
    <t>Kuvaus arvioitavasta toiminnan osa-alueesta</t>
  </si>
  <si>
    <t>Description of the function in scope of the assessment</t>
  </si>
  <si>
    <t>Kyberturvallisuuden arviointi</t>
  </si>
  <si>
    <t>Level of Cybersecurity Investment</t>
  </si>
  <si>
    <t>Data import and export</t>
  </si>
  <si>
    <t>Organisaatio</t>
  </si>
  <si>
    <t>Cybersecurity Maturity Level</t>
  </si>
  <si>
    <t>Kybertietoisuuden lisääminen</t>
  </si>
  <si>
    <t>Kyberturvallisuuteen liittyvät vastuut on dokumentoitu (esim. osana tehtävänkuvauksia tai suoriutumistavoitteita).</t>
  </si>
  <si>
    <t>Kyberturvallisuuteen liittyvät vastuut ja työtehtävien vaatimukset katselmoidaan ja päivitetään organisaation määrittämin aikavälein (esim. tietyin aikavälein, henkilöstön vaihtuessa tai toimintatapojen muuttuessa).</t>
  </si>
  <si>
    <t>Cybersecurity training is provided as a prerequisite to granting access to assets that support the delivery of the function (e.g., new personnel training, personnel transfer training)</t>
  </si>
  <si>
    <t>Koulutusohjelmiin sisältyy mahdollisuus jatko- ja lisäkoulutukseen niille työntekijöille, joilla on merkittäviä kyberturvallisuuteen liittyviä vastuita.</t>
  </si>
  <si>
    <t>Organisaatiolla on virallinen menettelytapa tilanteisiin, joissa työntekijät lyövät laimin turvapolitiikan tai -säännöstön asettamia vaatimuksia.</t>
  </si>
  <si>
    <t>The effectiveness of cybersecurity awareness activities is evaluated at an organization-defined frequency and improvements are made as appropriate</t>
  </si>
  <si>
    <t>Kybertietoisuuden lisäämiseen tähtäävien toimenpiteiden toimivuutta arvioidaan organisaation määrittelemin aikavälein ja niitä kehitetään tarpeen vaatiessa.</t>
  </si>
  <si>
    <t>Kybertietoisuuden toimenpiteisiin vaikuttavat organisaation ennalta määrittämät prosessit ja toimintamallit [kts. SITUATION-3h].</t>
  </si>
  <si>
    <t>Omaisuuden, muutoksen ja konfiguraation hallinta</t>
  </si>
  <si>
    <t>Verkkojen segmentointi osana kyberarkkitehtuuria</t>
  </si>
  <si>
    <t>Sovellusturvallisuus osana kyberarkkitehtuuria</t>
  </si>
  <si>
    <t>Tietojensuojelu osana kyberarkkitehtuuria</t>
  </si>
  <si>
    <t>Tietovarantojen rekisterin hallinta</t>
  </si>
  <si>
    <t>Kybertapahtumien havainnointi</t>
  </si>
  <si>
    <t>Kybertapahtumiin ja -häiriötilanteisiin reagointi</t>
  </si>
  <si>
    <t>Lokituksen toteuttaminen</t>
  </si>
  <si>
    <t>Monitoroinnin toteuttaminen</t>
  </si>
  <si>
    <t>Kyberhenkilöstön kehittäminen</t>
  </si>
  <si>
    <t>Tapahtumien ja häiriötilanteiden hallinta</t>
  </si>
  <si>
    <t>Jatkuvuussuunnitelmien sisältö kyberhäiriöiden osalta katselmoidaan ja päivitetään säännöllisesti.</t>
  </si>
  <si>
    <t>Kybertapahtumat kirjataan keskitetysti organisaation määrittämien kriteerien mukaisesti.</t>
  </si>
  <si>
    <t>Kybertapahtumiin ja -häiriöihin reagoidaan ennalta määritettyjen suunnitelmien ja prosessien mukaisesti.</t>
  </si>
  <si>
    <t>Kyberturvallisuuden vastuiden jakaminen</t>
  </si>
  <si>
    <t>Kun identiteettejä ei enää tarvita, ne poistetaan käytöstä ("deprovision") - ainakin tapauskohtaisesti.</t>
  </si>
  <si>
    <t>Kun käyttöoikeuksia ei enää tarvita, ne poistetaan käytöstä ("revoke") - ainakin tapauskohtaisesti.</t>
  </si>
  <si>
    <t>Organisaatiolla on kyberturvallisuusstrategia - vaikka sitä ei välttämättä kehitetä tai hallita systemaattisesti.</t>
  </si>
  <si>
    <t>Käyttöoikeusvaatimuksissa on huomioitu pienimmän valtuuden periaate ("least privilege") ja tehtävien eriyttämisen periaate ("separation of duties").</t>
  </si>
  <si>
    <t>Suojattavan omaisuuden omistaja tarkistaa ja hyväksyy käyttöoikeuspyynnöt.</t>
  </si>
  <si>
    <t>Poikkeavia kirjautumis- ja yhteydenmuodostusyrityksiä seurataan ja ne rekisteröidään mahdollisina kybertapahtumina.</t>
  </si>
  <si>
    <t>Organisaatiolla on strategia kyberarkkitehtuurille (joka sisältää kyberarkkitehtuurin tavoitteet, prioriteetit, vastuut, ja seurannan) - vaikka sitä ei välttämättä kehitetä systemaattisesti.</t>
  </si>
  <si>
    <t>Kyberarkkitehtuuri on dokumentoitu ja sitä pidetään yllä. Arkkitehtuuri kattaa organisaation IT- ja OT-järjestelmät ja -verkot ja noudattelee järjestelmien ja suojattavien kohteiden kategorisointia ja priorisointia.</t>
  </si>
  <si>
    <t>Kyberarkkitehtuurille on määritetty strategia, jota pidetään yllä. Kyberarkkitehtuuristrategia tukee organisaation laajempaa kyberstrategiaa [kts. PROGRAM-1b] ja yritysarkkitehtuuria sekä noudattaa niiden periaatteita ja vaatimuksia.</t>
  </si>
  <si>
    <t>Kyberarkkitehtuuri kattaa luottamuksellisuuteen, eheyteen ja saatavuuteen liittyvät vaatimukset toiminnan osa-alueen suojattaville kohteille.</t>
  </si>
  <si>
    <t>Toiminnan osa-alueen toimintavarmuuden kannalta tärkeät suojattavat kohteet on segmentoitu useisiin turvallisuusvyöhykkeisiin perustuen kyberarkkitehtuurissa määritettyihin kriteereihin (esim. riskiarviointien tulokset, turvallisuusvaatimukset, etäkäyttö, toiminnalliset vaatimukset).</t>
  </si>
  <si>
    <t>Kaikki suojattavat kohteet on segmentoitu turvallisuusvyöhykkeisiin perustuen kyberarkkitehtuurissa määritettyihin kriteereihin.</t>
  </si>
  <si>
    <t>Arkkitehtuurikatselmointiprosessi arvioi uusien ja päivitettyjen sovellusten turvallisuutta ennen tuotantoon vientiä [kts. ARCHITECTURE-1h].</t>
  </si>
  <si>
    <t>Arkaluontoisia tietoja suojataan siirron yhteydessä ("at transit") - ainakin tapauskohtaisesti [kts. ASSET-2c]. (Suojaustapoja voidaan käyttää esim. salausta, maskausta tai siirtoa suojatuissa kanavissa).</t>
  </si>
  <si>
    <t xml:space="preserve">Kyberarkkitehtuurin mukaiset salauksen hallintamenetelmät ja -käytännöt ("cryptographic controls") on määritetty ja toteutettu tiedon suojaamiseksi talletuksen ja siirron aikana. </t>
  </si>
  <si>
    <t>Kyberarkkitehtuuri sisältää turvallisuusvaatimuksiin perustuvia kontrolleja (esim. tiedon häviämisen estäminen, tietojen fyysinen exfiltrointi) tiedon suojaamiseksi järjestelmien sisällä ja järjestelmien välisessä tiedon siirrossa [kts. ARCHITECTURE-1e].</t>
  </si>
  <si>
    <t>Valittujen tietokategorioiden [kts. ASSET-2c] kohdalla kyberarkkitehtuuri pitää sisällään kontrollit kaiken tallennetun tiedon suojaamiseen (esim. oma konesali ja pilvipohjaiset tietovarastot ja -kannat).</t>
  </si>
  <si>
    <t>Valittujen tietokategorioiden kohdalla [kts. ASSET-2c] kyberarkkitehtuuri pitää sisällään suojausmenetelmät kaikelle siirrossa olevalle tiedolle (esim. sisäverkossa, verkkojen välisillä rajoilla ja ulkoisessa liikenteessä kuten pilviratkaisuissa).</t>
  </si>
  <si>
    <t>Kyberarkkitehtuuri kattaa suojausmenetelmät sovellusten, laiteohjelmistojen ja tiedon luvattomien muutosten varalle (virheet tai tahallinen toiminta).</t>
  </si>
  <si>
    <t>Omaisuusrekisteriä hyödynnetään kyberriskien tunnistamisessa (esim. tietojen paljastumisen, tuhoutumisen tai luvattomien muutosten riski).</t>
  </si>
  <si>
    <t>IT- ja OT-omaisuuden rekisterin hallinta</t>
  </si>
  <si>
    <t>Vakioidut perusasetukset huomioivat turvallisuusvyöhykkeistä [kts. ARCHITECTURE-2b] johdetut vaatimukset (esim. verkkolaitteiden konfiguraatiot on räätälöity vyöhykkeen liikennerajoitusten mukaisesti).</t>
  </si>
  <si>
    <t>Muutostenhallinnan lokitiedot sisältävät muutokset, jotka vaikuttavat suojattavien kohteiden kyberturvallisuusvaatimuksiin (saatavuus, eheys, luottamuksellisuus).</t>
  </si>
  <si>
    <t>Organisaatio arvioi säännöllisin väliajoin toimittajien ja muiden kolmansien osapuolten kykyä täyttää asetetut kyberturvallisuusvaatimukset.</t>
  </si>
  <si>
    <t>Kyberturvallisuusstrategia päivitetään vastaamaan liiketoiminnassa, toimintaympäristössä tai uhkaprofiilissa [kts. THREAT-1d] tapahtuvia muutoksia.</t>
  </si>
  <si>
    <t>Kyberturvallisuuden kehitysohjelma on perustettu kyberturvallisuusstrategian mukaisesti.</t>
  </si>
  <si>
    <t>Organisaatio on osoittanut riittävät resurssit (henkilöt, rahoitus ja työkalut), jotta kyberturvallisuuden kehitysohjelma voi toimia annetun strategian mukaisesti.</t>
  </si>
  <si>
    <t>Organisaation ylimmän johdon tuki kyberturvallisuuden kehitysohjelmalle on näkyvää ja aktiivista (esim. ylin johto tuo säännöllisesti esille kyberturvallisuuden tärkeyden organisaatiolle).</t>
  </si>
  <si>
    <t>Organisaation ylin johto tukee kyberturvallisuuspolitiikan -ja ohjeiden kehitystä, ylläpitoa ja täytäntöönpanoa.</t>
  </si>
  <si>
    <t>Vastuu kyberturvallisuuden hallintaohjelmasta on osoitettu organisaatiossa taholle/roolille, jolla on riittävät toimivaltuudet.</t>
  </si>
  <si>
    <t>Kyberturvallisuuden kehitysohjelmaan liittyvät sidosryhmät tunnistetaan ja osallistetaan.</t>
  </si>
  <si>
    <t>Kyberturvallisuuden kehitysohjelman suorituskykyä mitataan, jotta varmistetaan että se on kyberturvallisuusstrategian mukainen.</t>
  </si>
  <si>
    <t>Riippumaton taho arvioi, kuinka kyberturvallisuuden toimenpiteet noudattavat organisaation kyberturvallisuuspolitiikkaa-, -ohjeita ja -prosesseja. Tällaisia riippumattomia tahoja voi olla esim. kehitysohjelman ulkopuoliset ja suoraan organisaation hallituksen tai vastaavan hallintoelimen ohjauksessa olevat arvioijat.</t>
  </si>
  <si>
    <t>The cybersecurity program addresses and enables the achievement of regulatory compliance as appropriate</t>
  </si>
  <si>
    <t>Kyberturvallisuuden kehitysohjelma huomioi ja mahdollistaa sääntelyvaatimusten noudattamisen ("regulatory compliance").</t>
  </si>
  <si>
    <t>Jatkuvuussuunnitelmien kehittämisessä huomioidaan mahdollisten kybertapahtumien vaikutuksista tehdyt selvitykset ja niiden tulokset.</t>
  </si>
  <si>
    <t>Jatkuvuussuunnitelmia testataan arvioinneilla ja harjoituksilla organisaation määrittämin aikavälein (esim. läpikäynti, simulointiharjoitus, riippuvuusharjoitus, varmuuskopioiden palautustestaus).</t>
  </si>
  <si>
    <t>Jatkuvuussuunnitelmat kattavat kaikki ne riskit ja uhat jotka on tunnistettu organisaation riskitaksonomiassa [kts. RISK-2e] ja uhkaprofiilissa [kts. THREAT-1d].</t>
  </si>
  <si>
    <t>Jatkuvuussuunnitelmat katselmoidaan ja päivitetään säännöllisesti.</t>
  </si>
  <si>
    <t>Kybertapahtumien havaitsemistoimintoja ja -kyvykkyyttä kehitetään organisaation riskirekisterin [kts. RISK-1d] ja uhkaprofiilin [kts. THREAT-1d] tietojen perusteella  tunnettujen uhkien havaitsemiseksi ja tunnistettujen riskien seuraamiseksi.</t>
  </si>
  <si>
    <t>Kybertapahtumien tunnistamiseen käytetään organisaation koostamaa tilannekuvaa [kts. SITUATION-2i].</t>
  </si>
  <si>
    <t>Tapahtumien eskalointi perustuu määritettyihin kriteereihin.</t>
  </si>
  <si>
    <t>Kyberhäiriöiden ilmoituskriteerit noudattelevat organisaation yleisiä riskikriteereitä [kts. RISK-2b].</t>
  </si>
  <si>
    <t>Kyberhäiriöitä verrataan toisiinsa säännönmukaisuuksien ("patterns"), suuntausten ("trends") ja muiden yhteisten piirteiden tunnistamiseksi.</t>
  </si>
  <si>
    <t>Kybertapahtumat ja -häiriöt raportoidaan kyberturvallisuuden sidosryhmille - ainakin tapauskohtaisesti</t>
  </si>
  <si>
    <t>Kybertapahtumiin- ja häiriöihin reagoidaan ("execute incident response") - ainakin tapauskohtaisesti - tavoitteena rajoittaa häiriön vaikutusta toiminnan osa-alueeseen ja toiminnan palauttamiseksi normaaliin.</t>
  </si>
  <si>
    <t>Kybertapahtumien ja -häiriöiden juurisyyt analysoidaan ("root-cause analysis"), niistä otetaan opiksi ("lessons-learned") ja näiden pohjalta toteutetaan korjaavia toimenpiteitä (mkl. reagointisuunnitelmien päivitys).</t>
  </si>
  <si>
    <t>Kybertapahtumiin ja -häiriöihin reagointi koordinoidaan tarvittaessa poliisin tai muiden viranomaisten kanssa, mukaan lukien todisteiden kerääminen ja säilyttäminen.</t>
  </si>
  <si>
    <t>Monitoroinnille ja analysoinnille on asetettu vaatimukset, joita ylläpidetään ja joissa edellytetään tapahtumatiedon oikea-aikaista käsittelyä.</t>
  </si>
  <si>
    <t xml:space="preserve">Järjestelmiin on asetettu hälytysrajat auttamaan kybertapahtumien tunnistamista [kts. RESPONSE-1b]. </t>
  </si>
  <si>
    <t>Poikkeamien ja poikkeavan toiminnan indikaattorit arvioidaan ja päivitetään organisaation määrittämin aikavälein.</t>
  </si>
  <si>
    <t>Riskirekisterin [kts. RISK-1d] sisältöä käytetään tunnistamaan indikaattoreita, jotka viittaavat poikkeamiin tai poikkeavaan toimintaan.</t>
  </si>
  <si>
    <t>Organisaatio on määrittänyt, miten se viestii toiminnan osa-alueen kyberturvallisuuden nykytilan, ja pitää yllä tätä määrittelyä.</t>
  </si>
  <si>
    <t>Monitoroinnin tuottama tieto kootaan yhteen, se korreloidaan ja sitä käytetään miltei reaaliaikaisen kyberturvallisuuden tilannekuvan muodostamiseksi toiminnan osa-alueella.</t>
  </si>
  <si>
    <t>Organisaatiossa kerätään ja tarjotaan saataville organisaation ulkopuolista relevanttia tietoa tilannekuvan rikastamiseksi [kts. THREAT-1g, THREAT-2i].</t>
  </si>
  <si>
    <t>Tilannekuvan rikastamiseksi kerätään relevanttia tietoa koko organisaation laajuudelta.</t>
  </si>
  <si>
    <t>Monitoroinnin tuottama tieto kootaan yhteen toiminnan osa-alueen operatiivisen tilannekuvan muodostamiseksi.</t>
  </si>
  <si>
    <t>Kyberuhkatietoa kerätään ja tulkitaan toiminnan osa-alueen näkökulmasta - ainakin tapauskohtaisesti.</t>
  </si>
  <si>
    <t>Toiminnan osa-alueen toimintavarmuuden kannalta olennaisille uhkille tehdään tarvittavat toimenpiteet niiden hallitsemiseksi (esim. kontrollien implementointi, uhkatason seuranta) - ainakin tapauskohtaisesti.</t>
  </si>
  <si>
    <t>Tunnistetut uhat analysoidaan, priorisoidaan ja niihin vastataan tarvittavin keinoin.</t>
  </si>
  <si>
    <t>Uhat, jotka aiheuttavat riskin toiminnan osa-alueelle, viedään riskienhallintaprosessiin päätöksiä ja toimenpiteitä varten [kts. RISK-1e].</t>
  </si>
  <si>
    <t>Uhkien monitoroinnissa ja vastatoimissa hyödynnetään (ja tarvittaessa käynnistetään) organisaation ennalta määrättyjä toimintatapoja ("predefined states of operation") [kts. SITUATION-3h].</t>
  </si>
  <si>
    <t>Turvallisia ja automatisoituja työkulkuja hyödynnetään uhkatietojen julkaisuun, käsittelyyn, analysointiin sekä uhkatietoihin reagointiin.</t>
  </si>
  <si>
    <t>Uhkatietojen jakamisen kannalta olennaiset sidosryhmät on tunnistettu ja sitoutettu perustuen niiden merkitykseen toiminnan jatkuvuudesta (kuten valtio, liitännäiset organisaatiot, toimittajat, toimialan muut organisaatiot, sääntelyviranomaiset, tiedonjako-organisaatio ("information sharing and analysis centres, ISAC") tai organisaation sisäiset tahot).</t>
  </si>
  <si>
    <t>Kyberturvallisuuden sidosryhmät (esim. valtio, liitännäiset organisaatiot, toimittajat, toimialan muut organisaatiot, sääntelyviranomaiset tai organisaation sisäiset tahot) on tunnistettu ja heille ilmoitetaan kybertapahtumista ja -häiriöistä organisaation määrittelemien kriteereiden perusteella [kts. SITUATION-3d].</t>
  </si>
  <si>
    <t>Organisaatio on tunnistanut tiedonlähteet haavoittuvuuksien tunnistamista varten (esim. CERT-FI, ISAC-ryhmät, toimialan muut organisaatiot, toimittajat tai sisäiset arvioinnit) - ainakin tapauskohtaisesti.</t>
  </si>
  <si>
    <t>Haavoittuvuustietoa kerätään ja tulkitaan toiminnan osa-alueen näkökulmasta - ainakin tapauskohtaisesti.</t>
  </si>
  <si>
    <t>Haavoittuvuuskartoituksia suoritetaan (esim. elinkaaren tai käyttötuen loppupuolella olevien sovellusten ja laitteiden läpikäynti, haavoittuvuusskannaukset, tunkeutumistestaukset) - ainakin tapauskohtaisesti.</t>
  </si>
  <si>
    <t>Tunnistetut haavoittuvuudet analysoidaan, priorisoidaan ja niihin vastataan tarvittavin keinoin. Työkaluna käytetään esimerkiksi NIST Common Vulnerability Scoring System-määrittelyä sovellushaavoittuvuuksiin tai sisäisiä ohjeita muun tyyppisiin haavoittuvuuksiin.</t>
  </si>
  <si>
    <t>Tietoa löydetyistä haavoittuvuuksista jaetaan organisaation määrittelemille sidosryhmille.</t>
  </si>
  <si>
    <t>Haavoittuvuuskartoitukset suorittaa operatiivisesta organisaatiosta riippumaton taho.</t>
  </si>
  <si>
    <t>Tunnistetut haavoittuvuudet, jotka aiheuttavat riskin toiminnan osa-alueelle, viedään riskienhallintaprosessiin käsiteltäväksi [kts. RISK-1e].</t>
  </si>
  <si>
    <t>Riskien jatkuva monitorointi kattaa haavoittuvuuksille tehtyjen toimenpiteiden (esim. ohjelmistokorjausten asentaminen tai muut toimenpiteet) arvioinnin sekä varmistamisen silloin kun se on tarpeellista.</t>
  </si>
  <si>
    <t>Organisaation kybertyöntekijöiden koulutus-, rekrytointi ja sitouttamistoimenpiteiden suunnittelussa huomioidaan tunnistetut puutteet.</t>
  </si>
  <si>
    <t>Työntekijöiden sisäisiin siirtoihin liittyvissä menettelyissä on huomioitu kyberturvallisuus.</t>
  </si>
  <si>
    <t>Organisaatio on asettanut tavoitteet henkilöstön kybertietoisuuden lisäämiseen tähtääville toimenpiteille ja näitä tavoitteita päivitetään.</t>
  </si>
  <si>
    <t>Hankittavien sovellusten (esim. mobiilisovellukset, omaan ympäristöön asennettavat sovellukset, SaaS-sovellukset) yhtenä valintakriteerinä käytetään toimittajan turvallisen sovelluskehityksen periaatteita [kts. DEPENDENCIES-2e]. (Koskee sovelluksia, joita hankitaan toiminnan osa-alueen toimintavarmuuden kannalta tärkeisiin suojattaviin kohteisiin).</t>
  </si>
  <si>
    <t>Kyberturvallisuuskoulutus on edellytyksenä pääsyoikeuksien myöntämiselle toiminnan osa-alueen toimintavarmuuden kannalta kriittisiin suojattaviin kohteisiin (esim. uusien tai siirtyvien työntekijöiden perehdyttämiskoulutus).</t>
  </si>
  <si>
    <t>Niille työntekijöille, joilla on pääsy toiminnan osa-alueen toimintavarmuuden kannalta kriittisiin suojattaviin kohteisiin, teetetään asianmukainen taustatarkistus organisaation määrittelemin aikavälein.</t>
  </si>
  <si>
    <t>Vakioituja perusasetuksia käytetään suojattavien kohteiden käyttöönotossa ja käyttöön palautuksessa - ainakin tapauskohtaisesti.</t>
  </si>
  <si>
    <t>Rekisteröityihin suojattaviin kohteisiin tehtävät muutokset katselmoidaan ennen toteutusta - ainakin tapauskohtaisesti.</t>
  </si>
  <si>
    <t>Suojattavien kohteiden muutoksenhallinta</t>
  </si>
  <si>
    <t>Jatkuvuussuunnitelmissa on määritetty toipumisaika ("RTO, Recovery Time Objective") sekä toipumispiste ("Recovery Point Objective, RPO") toiminnan osa-alueen toimintavarmuuden kannalta tärkeille suojattaville kohteille ja omaisuudelle.</t>
  </si>
  <si>
    <t>Toiminnalle tärkeistä suojattavista kohteista kerätään lokeja silloin, kun se on kustannustehokasta - ja ainakin tapauskohtaisesti.</t>
  </si>
  <si>
    <t>Lokitusvaatimukset on määritelty kaikille toiminnan osa-alueen toimintavarmuuden kannalta tärkeille suojattaville kohteille.</t>
  </si>
  <si>
    <t>Organisaatio monitoroi kaikkia niitä haavoittuvuustiedon lähteitä, jotka yhdessä kattavat kaikki toiminnan osa-alueen kannalta tärkeät suojattavat kohteet.</t>
  </si>
  <si>
    <t>Kun identiteettejä ei enää tarvita, ne poistetaan käytöstä ("deprovision") vähintään organisaation määrittelemien enimmäismääräaikojen sisällä.</t>
  </si>
  <si>
    <t>Turvallisuustestausta (esim. staattinen analyysi, dynaaminen testaus, fuzzaus, murtotestaus) tehdään sisäisesti kehitettyihin ja räätälöityihin sovelluksiin. Testausta tehdään tunnistettujen riskien perusteella, käyttäen organisaation määrittämiä kriteerejä (esim. toteuttamisesta kulunut aika, muutokset sovelluksissa tai muutokset uhkaympäristössä).</t>
  </si>
  <si>
    <t>Jatkuvuussuunnitelmia testataan arvioinneilla ja harjoituksilla organisaation määrittämin aikavälein ja niissä huomioidaan ajankohtaiset kyberuhkaskenaariot.</t>
  </si>
  <si>
    <t>Kybertapahtumiin ja -häiriöihin reagoimista (ennalta märiteltyjen suunnitelmien mukaisesti) harjoitellaan organisaation määrittämin aikavälein.</t>
  </si>
  <si>
    <t>Tietojen suojausta testataan (esim. kontrollien katselmoinnit) organisaation määrittelemien kriteereiden mukaisesti (esim. toteuttamisesta kulunut aika, muutokset järjestelmäarkkitehtuurissa tai muutokset uhkaympäristössä).</t>
  </si>
  <si>
    <t>Haavoittuvuuskartoituksia suoritetaan organisaation määrittelemin aikavälein.</t>
  </si>
  <si>
    <t>Tilannekuvan raportoinnin osalta on määritetty vaatimukset, jotka käsittelevät myös kyberturvallisuustiedon oikea-aikaista jakamista organisaation määrittelemille sidosryhmillä (kuten valtio, liitännäiset organisaatiot, toimittajat, toimialan muut organisaatiot, sääntelyviranomaiset tai organisaation sisäiset tahot).</t>
  </si>
  <si>
    <t>Haavoittuvuuskartoituksia suoritetaan kaikille toiminnan osa-alueen toimintavarmuuden kannalta tärkeille suojattaville kohteille organisaation määrittelemin aikavälein.</t>
  </si>
  <si>
    <t>Yleisiä hallintatoimia</t>
  </si>
  <si>
    <t>Identiteetin- ja pääsynhallinnan (ACCESS) osioon liittyen on määritetty dokumentoidut käytännöt, joita noudatetaan ja pidetään yllä.</t>
  </si>
  <si>
    <t>Identiteetin- ja pääsynhallinnan (ACCESS) osion toimintaa suorittavilla työntekijöillä on riittävät tiedot ja taidot tehtäviensä suorittamiseen.</t>
  </si>
  <si>
    <t>Identiteetin- ja pääsynhallinnan (ACCESS) osion toimintaan on saatavilla riittävät resurssit (henkilöstö, rahoitus ja työkalut).</t>
  </si>
  <si>
    <t>Identiteetin- ja pääsynhallinnan (ACCESS) osion toiminnalle on määritetty suoriutumistavoitteet, joiden toteutumista seurataan [kts. PROGRAM-1b].</t>
  </si>
  <si>
    <t>Verkkojen segmentointi voidaan toteuttaa fyysisellä ja/tai loogisella tasolla ja sen tarkoitus on pienentää hyökkäyspinta-alaa. Optimitilanteessa jokaiselle laitteelle on perusteltu syy sen sijoittamiseen tiettyyn verkkosegmenttiin.</t>
  </si>
  <si>
    <t>Sovellusturvallisuus on keskeisessä roolissa kyberarkkitehtuurissa, kun suojataan käyttäjiä ja tietoa. Kehitettävien sovelluksien tulee olla resilienttejä myös epäsuotuisissa olosuhteissa ja väärinkäyttöä vastaan. Sovellusturvallisuus tulee huomioida myös käytettäessä kolmansien osapuolien ratkaisuja.</t>
  </si>
  <si>
    <t>Kyberarkkitehtuuri rakentuu suojattavan tiedon ympärille. Jotta sensitiivistä tietoa voidaan suojata, tulee se ensin tunnistaa. Suojaamiseen käytettävien kontrollien ja keinojen, kuten avaintenhallinnan prosessien, tulee olla toteutettu ja käytössä.</t>
  </si>
  <si>
    <t>Kyberturvallisuusarkkitehtuurin (ARCHITECTURE) osioon liittyen on määritetty dokumentoidut käytännöt, joita noudatetaan ja pidetään yllä.</t>
  </si>
  <si>
    <t>Kyberturvallisuusarkkitehtuurin (ARCHITECTURE) osion toimintaan on saatavilla riittävät resurssit (henkilöstö, rahoitus ja työkalut).</t>
  </si>
  <si>
    <t>Kyberturvallisuusarkkitehtuurin (ARCHITECTURE) osion toimintaa suorittavilla työntekijöillä on riittävät tiedot ja taidot tehtäviensä suorittamiseen.</t>
  </si>
  <si>
    <t>Kyberturvallisuusarkkitehtuurin (ARCHITECTURE) osion toiminnalle on määritetty suoriutumistavoitteet, joiden toteutumista seurataan [kts. PROGRAM-1b].</t>
  </si>
  <si>
    <t>Omaisuuden, muutoksen ja konfiguraation hallinnan (ASSET) osioon liittyen on määritetty dokumentoidut käytännöt, joita noudatetaan ja pidetään yllä.</t>
  </si>
  <si>
    <t>Omaisuuden, muutoksen ja konfiguraation hallinnan (ASSET) osion toimintaan on saatavilla riittävät resurssit (henkilöstö, rahoitus ja työkalut).</t>
  </si>
  <si>
    <t>Omaisuuden, muutoksen ja konfiguraation hallinnan (ASSET) osion toimintaa suorittavilla työntekijöillä on riittävät tiedot ja taidot tehtäviensä suorittamiseen.</t>
  </si>
  <si>
    <t>Omaisuuden, muutoksen ja konfiguraation hallinnan (ASSET) osion toiminnalle on määritetty suoriutumistavoitteet, joiden toteutumista seurataan [kts. PROGRAM-1b].</t>
  </si>
  <si>
    <t>Toimitusketjun ja ulkoisten riippuvuuksien hallinnan (DEPENDENCIES) osioon liittyen on määritetty dokumentoidut käytännöt, joita noudatetaan ja pidetään yllä.</t>
  </si>
  <si>
    <t>Toimitusketjun ja ulkoisten riippuvuuksien hallinnan (DEPENDENCIES) osion toimintaan on saatavilla riittävät resurssit (henkilöstö, rahoitus ja työkalut).</t>
  </si>
  <si>
    <t>Toimitusketjun ja ulkoisten riippuvuuksien hallinnan (DEPENDENCIES) osion toimintaa suorittavilla työntekijöillä on riittävät tiedot ja taidot tehtäviensä suorittamiseen.</t>
  </si>
  <si>
    <t>Toimitusketjun ja ulkoisten riippuvuuksien hallinnan (DEPENDENCIES) osion toiminnalle on määritetty suoriutumistavoitteet, joiden toteutumista seurataan [kts. PROGRAM-1b].</t>
  </si>
  <si>
    <t>Kyberturvallisuusohjelma</t>
  </si>
  <si>
    <t>PROGRAM-4g</t>
  </si>
  <si>
    <t>Kyberturvallisuusohjelman (PROGRAM) osioon liittyen on määritetty dokumentoidut käytännöt, joita noudatetaan ja pidetään yllä.</t>
  </si>
  <si>
    <t>Kyberturvallisuusohjelman (PROGRAM) osion toimintaan on saatavilla riittävät resurssit (henkilöstö, rahoitus ja työkalut).</t>
  </si>
  <si>
    <t>Kyberturvallisuusohjelman (PROGRAM) osion toimintaa suorittavilla työntekijöillä on riittävät tiedot ja taidot tehtäviensä suorittamiseen.</t>
  </si>
  <si>
    <t>Kyberturvallisuusohjelman (PROGRAM) osion toiminnalle on määritetty suoriutumistavoitteet, joiden toteutumista seurataan [kts. PROGRAM-1b].</t>
  </si>
  <si>
    <t>Adequate resources (people, funding, and tools) are provided to support activities in the PROGRAM domain</t>
  </si>
  <si>
    <t>Kybertapahtumien havainnoinnin (RESPONSE) osioon liittyen on määritetty dokumentoidut käytännöt, joita noudatetaan ja pidetään yllä.</t>
  </si>
  <si>
    <t>Kybertapahtumien havainnoinnin (RESPONSE) osion toimintaan on saatavilla riittävät resurssit (henkilöstö, rahoitus ja työkalut).</t>
  </si>
  <si>
    <t>Kybertapahtumien havainnoinnin (RESPONSE) osion toimintaa suorittavilla työntekijöillä on riittävät tiedot ja taidot tehtäviensä suorittamiseen.</t>
  </si>
  <si>
    <t>Kybertapahtumien havainnoinnin (RESPONSE) osion toiminnalle on määritetty suoriutumistavoitteet, joiden toteutumista seurataan [kts. PROGRAM-1b].</t>
  </si>
  <si>
    <t>Riskienhallinnan (RISK) osioon liittyen on määritetty dokumentoidut käytännöt, joita noudatetaan ja pidetään yllä.</t>
  </si>
  <si>
    <t>Riskienhallinnan (RISK) osion toimintaan on saatavilla riittävät resurssit (henkilöstö, rahoitus ja työkalut).</t>
  </si>
  <si>
    <t>Riskienhallinnan (RISK) osion toimintaa suorittavilla työntekijöillä on riittävät tiedot ja taidot tehtäviensä suorittamiseen.</t>
  </si>
  <si>
    <t>Riskienhallinnan (RISK) osion toiminnalle on määritetty suoriutumistavoitteet, joiden toteutumista seurataan [kts. PROGRAM-1b].</t>
  </si>
  <si>
    <t>Tilannekuvan (SITUATION) osioon liittyen on määritetty dokumentoidut käytännöt, joita noudatetaan ja pidetään yllä.</t>
  </si>
  <si>
    <t>Tilannekuvan (SITUATION) osion toimintaan on saatavilla riittävät resurssit (henkilöstö, rahoitus ja työkalut).</t>
  </si>
  <si>
    <t>Tilannekuvan (SITUATION) osion toimintaa suorittavilla työntekijöillä on riittävät tiedot ja taidot tehtäviensä suorittamiseen.</t>
  </si>
  <si>
    <t>Tilannekuvan (SITUATION) osion toiminnalle on määritetty suoriutumistavoitteet, joiden toteutumista seurataan [kts. PROGRAM-1b].</t>
  </si>
  <si>
    <t>Uhkien ja haavoittuvuuksien hallinnan (THREAT) osioon liittyen on määritetty dokumentoidut käytännöt, joita noudatetaan ja pidetään yllä.</t>
  </si>
  <si>
    <t>Uhkien ja haavoittuvuuksien hallinnan (THREAT) osion toimintaan on saatavilla riittävät resurssit (henkilöstö, rahoitus ja työkalut).</t>
  </si>
  <si>
    <t>Uhkien ja haavoittuvuuksien hallinnan (THREAT) osion toimintaa suorittavilla työntekijöillä on riittävät tiedot ja taidot tehtäviensä suorittamiseen.</t>
  </si>
  <si>
    <t>Uhkien ja haavoittuvuuksien hallinnan (THREAT) osion toiminnalle on määritetty suoriutumistavoitteet, joiden toteutumista seurataan [kts. PROGRAM-1b].</t>
  </si>
  <si>
    <t>Henkilöstöhallinnan (WORKFORCE) osioon liittyen on määritetty dokumentoidut käytännöt, joita noudatetaan ja pidetään yllä.</t>
  </si>
  <si>
    <t>Henkilöstöhallinnan (WORKFORCE) osion toimintaan on saatavilla riittävät resurssit (henkilöstö, rahoitus ja työkalut).</t>
  </si>
  <si>
    <t>Henkilöstöhallinnan (WORKFORCE) osion toimintaa suorittavilla työntekijöillä on riittävät tiedot ja taidot tehtäviensä suorittamiseen.</t>
  </si>
  <si>
    <t>Henkilöstöhallinnan (WORKFORCE) osion toiminnalle on määritetty suoriutumistavoitteet, joiden toteutumista seurataan [kts. PROGRAM-1b].</t>
  </si>
  <si>
    <t>Kyberturvallisuustrategia määrittää organisaation kyberturvallisuusohjelman hallintamallin ("governance") ja valvontatoimet.</t>
  </si>
  <si>
    <t>Kyberturvallisuustrategia määrittelee kyberturvallisuusohjelman rakenteen ja organisaation.</t>
  </si>
  <si>
    <t>Kyberturvallisuusstrategiassa on tunnistettu kaikki olennaiset vaatimustenmukaisuusvaatimukset ("compliance requirements"), jotka ohjelman tulee toteuttaa.</t>
  </si>
  <si>
    <t>Kyberturvallisuusstrategiassa on tunnistettu standardit ja/tai ohjeet, joita ohjelman tulisi noudattaa.</t>
  </si>
  <si>
    <t>Johdon tuki kyberturvallisuusohjelmalle</t>
  </si>
  <si>
    <t>Johdon tuki on tärkeää kyberturvallisuusohjelman jalkauttamiselle kyberturvallisuusstrategian mukaisesti. Perustasolla tuki sisältää riittävien resurssien turvaamisen (henkilöt, työkalut ja rahoitus). Kehittyneemmässä organisaatiossa tuki pitää sisällään ylimmän johdon näkyvän osallistumisen sekä vastuiden määrittelyn ja valtuutukset kyberturvallisuusohjelmalle. Lisäksi tuki kattaa organisatorisen tuen, jota vaaditaan poliitikkojen tai vastaavien ohjeistusten määrittämiseksi ja ylläpitämiseksi.</t>
  </si>
  <si>
    <t>Haavoittuvuuksien rajoittaminen</t>
  </si>
  <si>
    <t>KYBERMITTARI-10</t>
  </si>
  <si>
    <t>KYBERMITTARI-11</t>
  </si>
  <si>
    <t>KYBERMITTARI-12</t>
  </si>
  <si>
    <t>KYBERMITTARI-13</t>
  </si>
  <si>
    <t>KYBERMITTARI-14</t>
  </si>
  <si>
    <t>KYBERMITTARI-15</t>
  </si>
  <si>
    <t>KYBERMITTARI-16</t>
  </si>
  <si>
    <t>KYBERMITTARI-17</t>
  </si>
  <si>
    <t>KYBERMITTARI-20</t>
  </si>
  <si>
    <t>KYBERMITTARI-21</t>
  </si>
  <si>
    <t>KYBERMITTARI-22</t>
  </si>
  <si>
    <t>KYBERMITTARI-30</t>
  </si>
  <si>
    <t>KYBERMITTARI-31</t>
  </si>
  <si>
    <t>Cybersecurity Self-assessment Tool</t>
  </si>
  <si>
    <t>Threat Scenario</t>
  </si>
  <si>
    <t>Toiminnan osa-alueen yhteiskunnallinen vaikuttavuus</t>
  </si>
  <si>
    <t>Tulosten vienti ja tuonti (DataExport-välilehti)</t>
  </si>
  <si>
    <t>Level of cybersecurity investments (Investment-sheet)</t>
  </si>
  <si>
    <t>Kyberturvallisuuden investointien taso (Investment-välilehti)</t>
  </si>
  <si>
    <t>KYBERMITTARI-23</t>
  </si>
  <si>
    <t>Cybersecurity Assessment</t>
  </si>
  <si>
    <t>Tulokset ja vertailutiedot</t>
  </si>
  <si>
    <t>Results and reference data</t>
  </si>
  <si>
    <t>Kyberturvallisuuden osiot</t>
  </si>
  <si>
    <t>Cybersecurity domains</t>
  </si>
  <si>
    <t>Importing reference data and exporting results</t>
  </si>
  <si>
    <t>Vertailutietojen tuonti ja arviointitulosten vienti</t>
  </si>
  <si>
    <t>KYBERMITTARI-32</t>
  </si>
  <si>
    <t>KYBERMITTARI-33</t>
  </si>
  <si>
    <t>KYBERMITTARI-34</t>
  </si>
  <si>
    <t>Management report (R1-sheet)</t>
  </si>
  <si>
    <t>Johdon kypsyysraportti (R1-välilehti)</t>
  </si>
  <si>
    <t>Kybermittarin kypsyysraportti (R2-välilehti)</t>
  </si>
  <si>
    <t>Cybersecurity maturity report (R2-sheet)</t>
  </si>
  <si>
    <t>Yksityiskohtainen NIST Framework Core -raportti (R3-välilehti)</t>
  </si>
  <si>
    <t>Detailed NIST Framework Core report (R3-sheet)</t>
  </si>
  <si>
    <t>GEN-SEC</t>
  </si>
  <si>
    <t>Johdon kypsyysraportti (R1)</t>
  </si>
  <si>
    <t>Kybermittarin kypsyysraportti (R2)</t>
  </si>
  <si>
    <t>Cybersecurity maturity report (R2)</t>
  </si>
  <si>
    <t>Åtkomstkontroll och administration av åtkomsträttigheter</t>
  </si>
  <si>
    <t>Skapa och administrera identiteter för aktörer som kan beviljas logiska eller fysiska åtkomsträttigheter till skyddade objekt i organisationen. Kontrollera åtkomsten till skyddade objekt i organisationen med hänsyn till riskerna mot den kritiska infrastrukturen och organisationens mål.</t>
  </si>
  <si>
    <t>Specificera och administrera identiteter</t>
  </si>
  <si>
    <t>Specificering och administration av identiteter inleds genom aktivering och deaktivering av rättigheter (deaktivering av identiteter som inte längre behövs). Entiteterna kan utgöras av individer (interna eller externa), men även av enheter, system eller processer som behöver rättigheter till skyddade objekt. I vissa fall kan det vara nödvändigt att använda delade åtkomsträttigheter. Administration av delade åtkomsträttigheter kan kräva ersättande åtgärder för att garantera en tillräcklig säkerhet. Kontroll av rättigheter kräver spårbarhet (kontroll av om alla identiteter gäller) och deaktivering av rättigheter när dessa inte längre behövs.</t>
  </si>
  <si>
    <t>Identiteter skapas, åtminstone i enskilda fall, för personer och andra entiteter (t.ex. enheter, programprocesser) som behöver åtkomst till det skyddade objektet (observera att denna kontroll inte utgör hinder för att använda delade identiteter)</t>
  </si>
  <si>
    <t xml:space="preserve">ID-koder (t.ex. lösenord, certifikat, smartkort, nycklar, kodkombinationer för lås) skapas, åtminstone i enskilda fall, för personer och andra entiteter som behöver åtkomst till det skyddade objektet </t>
  </si>
  <si>
    <t>Identiteter deaktiveras när de inte längre behövs.</t>
  </si>
  <si>
    <t>Databasen över identiteter granskas och uppdateras vid tidpunkter som organisationen har fastställt för att säkerställa att de lagrade identiteterna är nödvändiga och korrekta.</t>
  </si>
  <si>
    <t>ID-koderna (t.ex. lösenorden, certifikaten, smartkorten, nycklarna) granskas regelbundet i syfte att kontrollera att de tillhör rätt person eller annan entitet.</t>
  </si>
  <si>
    <t>Identiteter deaktiveras inom den tid som organisationen har fastställt, när de inte längre behövs.</t>
  </si>
  <si>
    <t>Identifieringsmetoder (t.ex. stark autentisering) väljs riskbaserat (RISK-2b) och med beaktande av cybersäkerhetsarkitekturen (t.ex. krav på identifiering mellan säkerhetszoner (ARCHITECTURE-2b))</t>
  </si>
  <si>
    <t>Administrera åtkomsträttigheter</t>
  </si>
  <si>
    <t>Administration av åtkomsträttigheter omfattar följande: fastställa åtkomstkrav, bevilja rättigheter utifrån åtkomstkraven och deaktivera rättigheterna när dessa inte längre behövs. Åtkomsträttigheter är kopplade till skyddade objekt och definierar vilka som har åtkomsträtt till objekt som är skyddade med åtkomsträttigheter samt begränsar åtkomsten till skyddade objekt och autentiseringsparametrar. En leverantörs åtkomst till ett visst skyddat objekt genom distansuppkoppling kan till exempel endast vara begränsad till vissa på förhand överenskomna tidpunkter och kräva en tvåfaktorsautentisering. På högre mognadsnivåer kontrolleras beviljandet av åtkomsträttigheter noggrannare. Åtkomsträttigheter beviljas inte förrän en riskbedömning har gjorts, och rättigheterna granskas regelbundet.</t>
  </si>
  <si>
    <t>Åtkomstkrav (t.ex. vilka typer av entiteter som får åtkomst till ett skyddat objekt, i vilken omfattning åtkomst tillåts, begränsningar i fjärråtkomst och identifieringsparametrar) har fastställts åtminstone i enskilda fall.</t>
  </si>
  <si>
    <t>Identiteter beviljas åtkomst enligt fastställda principer, åtminstone i enskilda fall</t>
  </si>
  <si>
    <t xml:space="preserve">Åtkomsträttigheter deaktiveras när de inte längre behövs, åtminstone i enskilda fall </t>
  </si>
  <si>
    <t>I principerna för beviljande av åtkomst tas hänsyn till principerna om lägsta behörighet och åtskillnad i arbetsuppgifter.</t>
  </si>
  <si>
    <t>Ägaren till den tillgång som ska skyddas granskar och godkänner begäranden om åtkomsträttigheter.</t>
  </si>
  <si>
    <t>Root-behörigheter, systemadministratörs rättigheter, rättigheter till nödåtkomst och delade koder kontrolleras och godkänns enligt noggrannare rutiner än vad som tillämpas i fråga om vanliga rättigheter, och användningen av dem övervakas noggrannare.</t>
  </si>
  <si>
    <t>Åtkomsträttigheterna granskas och uppdateras enligt intervall som organisationen har fastställt, i syfte att bestämma fortsatt behov.</t>
  </si>
  <si>
    <t>Hanteringsåtgärder</t>
  </si>
  <si>
    <t>Ju fastare och djupare vissa rutiner eller aktiviteter är integrerade i det dagliga arbetet i organisationen, desto mer sannolikt är det att organisationen fortsätter tillämpa dem över tid. Rutinerna och aktiviteterna tillämpas även i krissituationer och resultaten är av jämn och hög kvalitet och upprepbara.</t>
  </si>
  <si>
    <t>Dokumenterad praxis, som följs och uppdateras, har fastställts för ämnesområdet ACCESS</t>
  </si>
  <si>
    <t>Tillräckliga resurser (personal, finansiering, verktyg) finns att tillgå för att stöda funktioner i anslutning till ämnesområdet ACCESS</t>
  </si>
  <si>
    <t>Den personal som utför aktiviteter i anslutning till ämnesområdet ACCESS har de kunskaper och färdigheter som behövs för dessa uppgifter</t>
  </si>
  <si>
    <t>Personalen har tilldelats ansvar och befogenheter att utföra uppgifter i anslutning till ämnesområdet ACCESS.</t>
  </si>
  <si>
    <t>Aktiviteter i anslutning till ämnesområdet ACCESS baserar sig på dokumenterade policyer eller andra bestämmelser inom organisationen.</t>
  </si>
  <si>
    <t>För funktionerna inom ämnesområdet ACCESS finns fastställda prestationsmål och uppnåendet av målen följs upp (PROGRAM-1b)</t>
  </si>
  <si>
    <t>Dokumenterad praxis för ämnesområdet ACCESS har standardiserats och utvecklas i hela organisationen</t>
  </si>
  <si>
    <t>Cybersäkerhetsarkitektur</t>
  </si>
  <si>
    <t>Inför och uppdatera en struktur och strategi för kontroller, processer och övriga element i anslutning till organisationens cybersäkerhet genom att ställa dem i proportion till riskerna, den kritiska infrastrukturen och organisationens mål.</t>
  </si>
  <si>
    <t>Inför och uppdatera en strategi för cybersäkerhetsarkitektur</t>
  </si>
  <si>
    <t>En cybersäkerhetsarkitektur möjliggör en övergripande planering av informationssäkerheten. Med arkitekturen nås ett bättre slutresultat än genom att skapa enskilda lösningar för olika funktioner, såsom administration av identiteter eller passerkontroll.  Kritiska applikationer och data kan skyddas med metoder som är mest lämpliga i enskilda fall, exempelvis genom att förbättra observation, skydd, reaktion eller resiliens. Konkreta exempel på skyddsmetoder är nätsegmentering, underhållslösningar, kryptering och registreringskedjor. Dessa kan användas tillsammans med skyddsmetoder för tillgänglighet, såsom övervakning, resiliens och redundansgrad.
När cybersäkerhetsarkitekturen planeras för att fungera enhetligt tillsammans med helhetsarkitekturen, fungerar den som informationsindata för riskanalysen och konfigurationen av de objekt som ska skyddas.</t>
  </si>
  <si>
    <t>Organisationen har en strategi för cybersäkerhetsarkitekturen och strategin kan utvecklas och/eller hanteras i enskilda fall</t>
  </si>
  <si>
    <t>En strategi för cybersäkerhetsarkitekturen, som har fastställts och uppdateras, stöder organisationens cybersäkerhetsstrategi (PROGRAM-1b) och företagsarkitektur</t>
  </si>
  <si>
    <t>En dokumenterad cybersäkerhetsarkitektur innefattar IT- och OT-system och nät och ligger i linje med kategoriseringen och prioriteringen av systemen och de skyddade objekten</t>
  </si>
  <si>
    <t>En process för styrning av cybersäkerhetsarkitekturen, som har fastställts och underhålls, innefattar specifikationer för regelbundna arkitekturbaserade granskningar och en process för incidenthantering (t.ex. en arkitekturutvärderingskommission)</t>
  </si>
  <si>
    <t>Cybersäkerhetsarkitekturen innefattar krav på sekretess, integritet och tillgänglighet för skyddade objekt som ingår i tjänsten</t>
  </si>
  <si>
    <t>Cybersäkerhetsarkitekturen innefattar principerna för cybersäkerhet (t.ex. minsta funktionalitet, förbud som standard, minsta användarrättigheter)</t>
  </si>
  <si>
    <t>Strategin för cybersäkerhetsarkitektur ligger i linje med organisationens företagsarkitekturstrategi</t>
  </si>
  <si>
    <t>Cybersäkerhetsarkitekturens överensstämmelse med organisationens system och nät bedöms i enlighet med de kriterier som fastställts i organisationen (t.ex. förfluten tid och/eller ändringar i system, nät eller skyddade objekt)</t>
  </si>
  <si>
    <t>Cybersäkerhetsarkitekturen styrs av tillgänglig information från organisationens risktaxonomi (RISK-2e) och hotbild (THREAT-1d), så att organisationen vid implementeringen av skydd kan beakta de identifierade hoten</t>
  </si>
  <si>
    <t>Använd nätsegmentering som en del i cybersäkerhetsarkitekturen</t>
  </si>
  <si>
    <t>Organisationens IT-system har separerats från OT-systemen med hjälp av segmentering antingen fysiskt (t.ex. luftgap) eller logiskt (t.ex. nätkonfigurationer), åtminstone i enskilda fall</t>
  </si>
  <si>
    <t>Skyddade objekt som är viktiga för verksamheten har segmenterats i flera säkerhetszoner baserat på kriterier som fastställts i cybersäkerhetsarkitekturen (t.ex. riskbedömningarnas resultat, säkerhetskrav, distansanvändning, funktionella krav)</t>
  </si>
  <si>
    <t>Alla skyddade objekt har segmenterats i säkerhetszoner baserat på kriterier som fastställts i cybersäkerhetsarkitekturen</t>
  </si>
  <si>
    <t>Använd applikationssäkerhet som en del i cybersäkerhetsarkitekturen</t>
  </si>
  <si>
    <t>Applikationssäkerheten spelar en central roll i cybersäkerhetsarkitekturen vid skydd av användare och data. Applikationer som utvecklas ska vara resilienta även i ogynnsamma förhållanden. Applikationssäkerheten ska beaktas även när tredje parters lösningar används.</t>
  </si>
  <si>
    <t>När applikationer utvecklas internt för skyddade objekt som är viktiga för verksamheten följs principerna för säker applikationsutveckling</t>
  </si>
  <si>
    <t>Vid upphandling av applikationer för skyddade objekt som är viktiga för verksamheten (t.ex. mobilappar, applikationer som installeras i den egna miljön, SaaS-applikationer) beaktas leverantörens principer för säker applikationsutveckling (DEPENDENCIES-2e)</t>
  </si>
  <si>
    <t>Arkitekturgranskningsprocessen bedömer nya och på nytt granskade applikationers säkerhet innan applikationerna införs i produktionen (ARCHITECTURE-1h)</t>
  </si>
  <si>
    <t>Säkerhetstester (t.ex. en statisk analys, dynamiska tester, fuzzning, penetrationstest) görs på internt utvecklade och anpassade applikationer utifrån identifierade risker enligt de kriterier som fastställts i organisationen (t.ex. förfluten tid, ändringar i applikationer, ändringar i hotbilden)</t>
  </si>
  <si>
    <t>Använd skydd av information som en del i cybersäkerhetsarkitekturen</t>
  </si>
  <si>
    <t>Cybersäkerhetsarkitekturen byggs upp kring den information som ska skyddas. För att bäst kunna skydda sensitiv information, ska den identifieras, och kontroller och metoder för skydd av information, exempelvis en nyckelhanteringsprocess, ska användas.</t>
  </si>
  <si>
    <t>Känsliga uppgifter (t.ex. person-, betalkorts- och patientuppgifter samt immateriella rättigheter och operativ kunskap) skyddas lagrade (at rest) (t.ex. kryptering, datamaskering, lösenordsskydd, åtkomsthantering), åtminstone i enskilda fall</t>
  </si>
  <si>
    <t>Känsliga uppgifter (t.ex. person-, betalkorts- och patientuppgifter samt immateriella rättigheter och operativ kunskap) skyddas vid överföring (at transit) (t.ex. kryptering, datamaskering, överföring via skyddade kanaler), åtminstone i enskilda fall (ASSET-2c)</t>
  </si>
  <si>
    <t>Nyckelhanteringsinfrastrukturen (t.ex. skapande, lagring, destruering, uppdatering och upphävande av nycklar) har fastställts och administreras för skydd av information under lagring och vid överföring</t>
  </si>
  <si>
    <t>Praxis för hantering av kryptering har fastställts och utförs för skydd av lagrad information och vid överföring i enlighet med cybersäkerhetsarkitekturen</t>
  </si>
  <si>
    <t>Cybersäkerhetsarkitekturen innefattar kontroller som baserar sig på säkerhetskrav (t.ex. förhindrande av förlust av information, fysisk exfiltrering av information) och som görs för att skydda informationen inne i systemen och vid dataöverföring av information mellan systemen (ARCHITECTURE-1e)</t>
  </si>
  <si>
    <t>Cybersäkerhetsarkitekturen innefattar skydd av all lagrad information (t.ex. ett eget datacenter och molnbaserade datalager och databaser) i valda datakategorier (ASSET-2c)</t>
  </si>
  <si>
    <t>Cybersäkerhetsarkitekturen innefattar skydd av all information som överförs (t.ex. i ett internt nät, på gränsen mellan nät och i extern trafik, såsom i molnlösningar) i valda datakategorier (ASSET-2c)</t>
  </si>
  <si>
    <t>Skyddet av information testas (t.ex. granskningar av kontroller) i enlighet med de kriterier som fastställts i organisationen (t.ex. förfluten tid, ändringar i systemarkitekturen eller hotbilden)</t>
  </si>
  <si>
    <t>Cybersäkerhetsarkitekturen innefattar skydd mot obehöriga ändringar av applikationer, programvaror eller information (fel eller obehörig verksamhet)</t>
  </si>
  <si>
    <t>Dokumenterad praxis, som följs och uppdateras, har fastställts för delområdet ARCHITECTURE</t>
  </si>
  <si>
    <t>Tillräckliga resurser (personal, finansiering, verktyg) finns att tillgå för att stöda funktioner i anslutning till delområdet ARCHITECTURE</t>
  </si>
  <si>
    <t>Den personal som utför aktiviteter i anslutning till delområdet ARCHITECTURE har de kunskaper och färdigheter som behövs för dessa uppgifter</t>
  </si>
  <si>
    <t>Personalen har tilldelats ansvar och befogenheter att utföra uppgifter i anslutning till delområdet ARCHITECTURE.</t>
  </si>
  <si>
    <t>Aktiviteter i anslutning till delområdet ARCHITECTURE baserar sig på dokumenterade policyer eller andra bestämmelser inom organisationen.</t>
  </si>
  <si>
    <t>För funktionerna inom delområdet ARCHITECTURE finns fastställda prestationsmål och uppnåendet av målen följs upp (PROGRAM-1b)</t>
  </si>
  <si>
    <t>Dokumenterad praxis för delområdet ARCHITECTURE har standardiserats och utvecklas i hela organisationen</t>
  </si>
  <si>
    <t>Hantera skyddade objekt, ändringar och konfigurationer</t>
  </si>
  <si>
    <t>Hantera organisationens IT- och OT-tillgångar (inbegripet hårdvara och programvara) med hänsyn till riskerna mot den kritiska infrastrukturen och organisationens mål.</t>
  </si>
  <si>
    <t>Hantera förteckningarna över IT- och OT-tillgångar</t>
  </si>
  <si>
    <t>En förteckning över tillgångar som utgör skyddade objekt som är viktiga för tillhandahållandet av tjänsten är en viktig informationskälla för hantering av cybersäkerhetsrisker. Det är möjligt att vidta flera åtgärder för att hantera cybersäkerhet när viktig information, såsom nummer och fysiskt läge för programversioner samt ägare och prioriteringar av olika objekt, är registrerad. Den information som förteckningen över tillgångar innehåller kan till exempel ange var en programvara som behöver uppdateras är installerad.</t>
  </si>
  <si>
    <t>En förteckning över tillgångar, som förs åtminstone i enskilda fall, finns att tillgå över sådana skyddade objekt som är viktiga vid tillhandahållande av tjänster (IT- och OT-tillgångar).</t>
  </si>
  <si>
    <t>I förteckningarna över tillgångar antecknas uppgifter som organisationen behöver för att driva funktioner i anslutning till cybersäkerheten (PROGRAM-1a). Sådana uppgifter är till exempel läge, ägarskap till skyddade objekt, säkerhetskrav, beroendeförhållanden, servicenivåer, uppgifter om livscykel och tillgång på support och överensstämmelse med relevanta branschstandarder.</t>
  </si>
  <si>
    <t>De förtecknade skyddade objekten har prioriterats utgående från officiellt fastställda kriterier</t>
  </si>
  <si>
    <t>IT- och OT-tillgångarna är förtecknade för den tjänst som ska tillhandahållas</t>
  </si>
  <si>
    <t>Förteckningarna över tillgångar är uppdaterade enligt de kriterier som organisationen har fastställt.</t>
  </si>
  <si>
    <t>Förteckningarna över tillgångar används för att identifiera cybersäkerhetsrisker (t.ex. livscykel och tillgång på support; enskilda platser, där en funktionsstörning kan avbryta hela tjänsten)</t>
  </si>
  <si>
    <t>Administrera förteckningar över informationstillgångar</t>
  </si>
  <si>
    <t>En förteckning över tillgångar av skyddade objekt som är viktiga för leverans av den tjänst som tillhandahålls är en viktig informationskälla för hantering av cybersäkerhetsrisker. Det är möjligt att vidta flera åtgärder för att hantera cybersäkerhet när viktig information, såsom nummer och fysiskt läge för programversioner samt ägare och prioriteringar av olika objekt, är registrerad. Den information som förteckningen över tillgångar innehåller kan till exempel ange var en programvara som behöver uppdateras är installerad.</t>
  </si>
  <si>
    <t>Informationstillgångar som är viktiga för tillhandahållandet av tjänsten har förtecknats (t.ex. variabler i SCADA-systemen, kunduppgifter, finansiell information, loggdata). Förteckningar över informationstillgångar hanteras åtminstone i enskilda fall.</t>
  </si>
  <si>
    <t>I förteckningarna över tillgångar lagras sådan information som organisationen behöver för att driva de funktioner som har samband med cybersäkerhet (PROGRAM-1a) (t.ex. läge, ägarskap till skyddade objekt, säkerhetskrav, beroendeförhållanden, servicenivåer, uppgifter om livscykel och tillgång på support, överensstämmelse med krav)</t>
  </si>
  <si>
    <t>Förtecknade informationstillgångar har kategoriserats enligt en fastställd mall.</t>
  </si>
  <si>
    <t>Förteckningen omfattar alla informationstillgångar som är knutna till tillhandahållande av tjänsten.</t>
  </si>
  <si>
    <t>Förteckningarna över tillgångar används för att identifiera cybersäkerhetsrisker (t.ex. risk för att data röjs, förstörs eller ändras olovligt)</t>
  </si>
  <si>
    <t>Hantera konfigurationer av skyddade objekt</t>
  </si>
  <si>
    <t>Hantering av konfigurationer av skyddade objekt omfattar följande: fastställa standardiserade grundinställningar för skyddade informations-, IT- och OT-tillgångar och säkra installationen av grundinställningarna. Oftast säkrar dessa åtgärder att alla liknande objekt som ska skyddas har konfigurerats på samma sätt. Om skyddade objekt skiljer sig betydligt från varandra eller om vissa specifika inställningar måste användas genom hantering av konfigurationer, gäller det att kontrollera att grundinställningarna för konfiguration av objektet i fråga har fastställts och att fastställda inställningar kontinuerligt motsvarar fastställda grundinställningar.</t>
  </si>
  <si>
    <t>Standardiserade grundinställningar har fastställts för konfiguration av förtecknade skyddade objekt, åtminstone i enskilda fall, när det är nödvändigt att kontrollera att objekt som liknar varandra har konfigurerats på samma sätt.</t>
  </si>
  <si>
    <t>Standardiserade grundinställningar används, åtminstone i enskilda fall, vid ibruktagande och återställande av nya skyddade objekt.</t>
  </si>
  <si>
    <t>Cybersäkerhetsmålen har beaktats vid fastställandet av standardiserade grundinställningar (PROGRAM-1b).</t>
  </si>
  <si>
    <t xml:space="preserve">Överensstämmelsen av konfigurationen av skyddade objekt med standardiserade grundinställningar övervakas hela den tid som objekten används. </t>
  </si>
  <si>
    <t>De standardiserade grundinställningarna granskas och uppdateras vid tidpunkter som organisationen har fastställt.</t>
  </si>
  <si>
    <t>De standardiserade grundinställningarna innefattar krav på tillämpliga säkerhetszoner (ARCHITECTURE-2b) (t.ex. att konfigurationerna av nätutrustning har anpassats enligt zonens trafikbegränsningar)</t>
  </si>
  <si>
    <t>Hantering av ändringar i skyddade objekt</t>
  </si>
  <si>
    <t>Hantering av ändringar i skyddade objekt omfattar följande: granska begärandena om ändring så att ändringar som inte har godkänts inte införs i produktionsmiljön, driva en process som kontrollerar att alla ändringar följer processen för hantering av ändringar och identifiera obehöriga ändringar. Hantering av ändringar omfattar alla faser av skyddade objekts livscykel, inbegripet specifikationer, testning, införande och underhåll samt avveckling.</t>
  </si>
  <si>
    <t>Ändringar som ska göras i förtecknade skyddade objekt granskas före genomförandet, åtminstone i enskilda fall</t>
  </si>
  <si>
    <t>Ändringar som ska göras i förtecknade skyddade objekt loggas, åtminstone i enskilda fall</t>
  </si>
  <si>
    <t>Ändringar som ska göras i förtecknade skyddade objekt testas före genomförandet varje gång det är möjligt.</t>
  </si>
  <si>
    <t>Rutiner för hantering av ändringar omfattar alla faser av skyddade objekts livscykel (anskaffning, införande, användning och avveckling).</t>
  </si>
  <si>
    <t>Hur ändringar som görs i förtecknade skyddade objekt påverkar cybersäkerheten testas före genomförandet.</t>
  </si>
  <si>
    <t>Loggdata som tas fram vid hantering av ändringar innehåller ändringar som påverkar cybersäkerhetskraven (tillgänglighet, integritet, konfidentialitet) för skyddade objekt.</t>
  </si>
  <si>
    <t>Dokumenterade rutiner följs och upprätthålls i anslutning till uppgifter som utförs för skyddade objekt på ämnesområdet ASSET.</t>
  </si>
  <si>
    <t>Tillräckliga resurser (personal, finansiering, verktyg) finns att tillgå för uppgifter som ingår i ämnesområdet ASSET.</t>
  </si>
  <si>
    <t>Den personal som utför aktiviteter i anslutning till ämnesområdet ASSET har de kunskaper och färdigheter som behövs för dessa uppgifter</t>
  </si>
  <si>
    <t>Personalen har tilldelats ansvar och befogenheter att utföra uppgifter i anslutning till ämnesområdet ASSET.</t>
  </si>
  <si>
    <t>Aktiviteter i anslutning till ämnesområdet ASSET baserar sig på dokumenterade policyer eller andra bestämmelser inom organisationen.</t>
  </si>
  <si>
    <t>För funktionerna inom ämnesområdet ASSET finns fastställda prestationsmål och uppnåendet av målen följs upp (PROGRAM-1b)</t>
  </si>
  <si>
    <t>Dokumenterad praxis för ämnesområdet ASSET har standardiserats och utvecklas i hela organisationen</t>
  </si>
  <si>
    <t>Skydda kritiska tjänster</t>
  </si>
  <si>
    <t>Organisationen ska identifiera sin roll i tillhandahållandet av tjänster för samhället och hantera risker baserat på sin roll.</t>
  </si>
  <si>
    <t>Identifiera kritiska tjänster och beroendeförhållanden till tjänsterna</t>
  </si>
  <si>
    <t>Organisationen ska förstå sin roll i tillhandahållandet av kritiska tjänster för samhället, vilka krav tillhandahållandet av kritiska tjänster ställer och vilka konsekvenser ett misslyckat tillhandahållande kan ha.</t>
  </si>
  <si>
    <t>Kritiska tjänster som organisationen tillhandahåller samhället har identifierats och dokumenterats.</t>
  </si>
  <si>
    <t>Information som behövs för att tillhandahålla kritiska tjänster för samhället har identifierats och dokumenterats.</t>
  </si>
  <si>
    <t>Processer som behövs för att tillhandahålla kritiska tjänster för samhället har identifierats och dokumenterats.</t>
  </si>
  <si>
    <t>System (IT och OT) som behövs för att tillhandahålla kritiska tjänster för samhället har identifierats och dokumenterats.</t>
  </si>
  <si>
    <t>Utrustning och lokaler som behövs för att tillhandahålla kritiska tjänster för samhället har identifierats och dokumenterats.</t>
  </si>
  <si>
    <t>Leveranskedjor som behövs för att tillhandahålla kritiska tjänster för samhället har identifierats och dokumenterats.</t>
  </si>
  <si>
    <t>Det har fastställts en tidsfrist efter vilken den normala verksamheten i samhället påverkas betydligt, om de resurser (information, processer, system, rum, leveranskedja) som kritiska tjänster behöver inte är tillgängliga.</t>
  </si>
  <si>
    <t>Kedjeeffekter för samhället av att kritiska tjänster har försvagats eller avbrutits har identifierats och dokumenterats.</t>
  </si>
  <si>
    <t>Hantera kritiska tjänster</t>
  </si>
  <si>
    <t>Högsta ledningen ska säkerställa tillräckliga resurser för tillhandahållande av kritiska tjänster, och ansvar för beslut ska ha fastställts på behörigt och effektivt sätt. Riskerna mot nät och informationssystem som behövs för att tillhandahålla kritiska tjänster ska utvärderas som en del av bedömningen av riskerna mot hela organisationen.</t>
  </si>
  <si>
    <t>Alla resurser (information, processer, system, rum, leveranskedjor) som behövs för att tillhandahålla samhälleligt kritiska tjänster omfattas av organisationens policyer och processer för säkerhetshantering.</t>
  </si>
  <si>
    <t>Alla resurser (information, processer, system, rum, leveranskedjor) som behövs för att tillhandahålla samhälleligt kritiska tjänster omfattas av organisationens policyer och processer för riskhantering.</t>
  </si>
  <si>
    <t>Ledningsgruppen äger organisationens riktlinjer och policy för säkerhet i nät och informationssystem som stöder tillhandahållandet av tjänster som är avgörande för samhället. Beslutsfattare inom riskhanteringen i hela organisationen hålls uppdaterade om dem på ett lämpligt sätt.</t>
  </si>
  <si>
    <t>Ledningsgruppen behandlar säkerhetsnivån i informationsnätet och IT-systemen för tillhandahållande av kritiska tjänster för samhället utgående från uppdaterad och detaljerad information och handledning som ges av experter.</t>
  </si>
  <si>
    <t>En utsedd medlem i ledningsgruppen ansvarar för säkerhetsnivån i informationsnätet och IT-systemen för tillhandahållande av kritiska tjänster för samhället, och leder regelbundna diskussioner om ämnet i styrelsen.</t>
  </si>
  <si>
    <t>Den vision som ledningsgruppen har fastställt omvandlas till effektiva organisatoriska rutiner som styr och övervakar informationsnätet och IT-systemen för tillhandahållande av kritiska tjänster för samhället.</t>
  </si>
  <si>
    <t>Högsta ledningen har insyn i de viktigaste riskbesluten inom hela organisationen.</t>
  </si>
  <si>
    <t>De som fattar riskbeslut förstår sitt ansvar för att fatta effektiva och snabba beslut om kritiska system i enlighet med den riskaptit som ledningen i organisationen har fastställt.</t>
  </si>
  <si>
    <t>Beslutsfattandet i riskhanteringen delegeras och eskaleras vid behov i hela organisationen till personer som har sådana kunskaper, färdigheter, verktyg och behörigheter som de behöver.</t>
  </si>
  <si>
    <t>Riskbesluten granskas med jämna mellanrum i syfte att säkra att de fortfarande är betydelsefulla och giltiga.</t>
  </si>
  <si>
    <t>Resurser (information, processer, system, utrustning, leveranskedjor), en kritisk tidsperiod och kedjeeffekter beaktas i riskhanteringsprocessen och riskbesluten.</t>
  </si>
  <si>
    <t>Planen har dokumenterats och delats ut till alla relevanta berörda parter.</t>
  </si>
  <si>
    <t xml:space="preserve">Planen bygger på en klar förståelse av risker mot nät och informationssystem som behövs för att tillhandahålla kritiska tjänster. </t>
  </si>
  <si>
    <t>Planen har dokumenterats och integrerats i mer omfattande processer för hantering av organisationens affärsverksamhet och leveranskedja.</t>
  </si>
  <si>
    <t>Affärsenheter som tillhandahåller kritiska tjänster har tagit emot och förstår planen.</t>
  </si>
  <si>
    <t>Fastställ och underhåll kontroller för att hantera sådana cybersäkerhetsrisker mot tjänster och skyddade objekt som är beroende av externa entiteter, i förhållande till den kritiska infrastrukturen och riskerna mot organisationens mål.</t>
  </si>
  <si>
    <t>Identifiera beroendeförhållanden</t>
  </si>
  <si>
    <t>Identifiering av beroendeförhållanden omfattar att skapa och upprätthålla en övergripande förståelse av viktiga externa relationer som är delaktiga i tillhandahållandet av tjänster.</t>
  </si>
  <si>
    <t xml:space="preserve">Beroendeförhållanden till viktiga IT- och OT-leverantörer (t.ex. interna och externa leverantörer som leveransen av tjänsten är beroende av, inklusive partner på den operativa nivån) har identifierats åtminstone i enskilda fall </t>
  </si>
  <si>
    <t>Viktiga beroendeförhållanden till kunder (t.ex. interna och externa parter som är beroende av att den aktuella tjänsten levereras) har identifierats åtminstone i enskilda fall</t>
  </si>
  <si>
    <t>Beroendeförhållandena till olika leverantörer identifieras enligt fastställda kriterier.</t>
  </si>
  <si>
    <t>Kundernas beroendeförhållanden till organisationens tjänster identifieras enligt fastställda kriterier.</t>
  </si>
  <si>
    <t>Leverantörer som inte kan bytas ut och övriga viktiga beroendeförhållanden identifieras.</t>
  </si>
  <si>
    <t>Beroendeförhållandena har prioriterats.</t>
  </si>
  <si>
    <t>Organisationens riskkriterier (RISK-2b) används vid identifiering och prioritering av beroendeförhållanden</t>
  </si>
  <si>
    <t>Hantera beroenderisker</t>
  </si>
  <si>
    <t>Hantering av beroenderisker omfattar oberoende testning, kodgranskning, sårbarhetsskanning och granskning av bevis från tjänsteleverantören för att en säker välfungerande modell för programvaruutveckling har följts. De avtal som har ingåtts om produkter och tjänster med samarbetspartner och leverantörer ska granskas och godkännas med tanke på hantering av cybersäkerhetsrisker så att avtalstexterna kräver att leverantörerna ska uppfylla eller överskrida de cybersäkerhetsstandarder och cybersäkerhetsriktlinjer som fastställs i avtalen. Övervaknings- och revisionsprocesser kan fastställas i avtal om servicenivå i syfte att säkra att leverantörerna och deras tjänster uppfyller kraven på informationssäkerhet och verksamhetskapacitet.</t>
  </si>
  <si>
    <t>Betydande risker mot cybersäkerheten till följd av beroendeförhållanden identifieras och åtgärdas åtminstone i enskilda fall</t>
  </si>
  <si>
    <t>Cybersäkerhetskraven beaktas, åtminstone i enskilda fall, när relationer ingås med leverantörer och andra externa parter</t>
  </si>
  <si>
    <t>Identifierade beroenderisker mot cybersäkerheten förs in i riskregistret (RISK-1d)</t>
  </si>
  <si>
    <t>Avtal med tredje parter innefattar skyldighet att dela information om hot mot cybersäkerheten.</t>
  </si>
  <si>
    <t>Cybersäkerhetskrav fastställs för leverantörer enligt fastställda rutiner. Kraven omfattar tillämpning av säkra metoder för programvaruutveckling, när programvaruutveckling utförs.</t>
  </si>
  <si>
    <t>Cybersäkerhetskrav ingår i avtalen med leverantörer och andra externa parter.</t>
  </si>
  <si>
    <t>I processen för val av leverantörer och andra externa samarbetspartner tas hänsyn till leverantörernas och samarbetspartnernas förmåga att uppfylla cybersäkerhetskraven.</t>
  </si>
  <si>
    <t>Avtal ålägger leverantörerna att rapportera cybersäkerhetsincidenter i anknytning till tjänster eller produkter.</t>
  </si>
  <si>
    <t>Leverantörers och andra externa samarbetspartners förmåga att uppfylla cybersäkerhetskraven utvärderas regelbundet till exempel genom leverantörsrevisioner.</t>
  </si>
  <si>
    <t>Cybersäkerhetskraven i anslutning till leverantörsberoendeförhållanden baserar sig på fastställda riskkriterier (RISK-2b)</t>
  </si>
  <si>
    <t>Vid valet av leverantör beaktas även tidpunkterna för när produktens eller tjänstens livscykel eller support upphör.</t>
  </si>
  <si>
    <t xml:space="preserve">Vid valet av leverantör beaktas nödvändiga åtgärder vad gäller förfalskade och riskutsatta programvaror, produkter eller tjänster </t>
  </si>
  <si>
    <t>Informationskällor följs upp för att risker i leveranskedjan ska kunna identifieras och undvikas (t.ex. förfalskade eller riskutsatta programvaror, produkter och tjänster)</t>
  </si>
  <si>
    <t>Godkännandetest för upphandlade skyddade objekt innefattar cybersäkerhetskrav</t>
  </si>
  <si>
    <t>Dokumenterad praxis, som följs och uppdateras, har fastställts för ämnesområdet DEPENDENCIES</t>
  </si>
  <si>
    <t>Tillräckliga resurser (personal, finansiering, verktyg) finns att tillgå för att stöda funktioner i anslutning till ämnesområdet DEPENDENCIES</t>
  </si>
  <si>
    <t>Den personal som utför aktiviteter i anslutning till ämnesområdet DEPENDENCIES har de kunskaper och färdigheter som behövs för dessa uppgifter</t>
  </si>
  <si>
    <t>Personalen har tilldelats ansvar och befogenheter att utföra uppgifter i anslutning till ämnesområdet DEPENDENCIES.</t>
  </si>
  <si>
    <t>Aktiviteter i anslutning till ämnesområdet DEPENDENCIES baserar sig på dokumenterade policyer eller andra bestämmelser inom organisationen.</t>
  </si>
  <si>
    <t>För funktionerna inom ämnesområdet DEPENDENCIES finns fastställda prestationsmål och uppnåendet av målen följs upp (PROGRAM-1b)</t>
  </si>
  <si>
    <t>Dokumenterad praxis för ämnesområdet DEPENDENCIES har standardiserats och utvecklas i hela organisationen</t>
  </si>
  <si>
    <t>Observera</t>
  </si>
  <si>
    <t>Organisationen har en mycket begränsad kapacitet att upptäcka cybersäkerhetsstörningar när dessa uppstår. Det innebär vanligen att de avvärjande åtgärderna fördröjs avsevärt och inte vidtas förrän en betydande informationsläcka eller skada har inträffat. Den effekt som angriparen vill orsaka realiseras vanligen fullständigt.</t>
  </si>
  <si>
    <t>Organisationen har en god kapacitet att samla in och analysera information för att i tid kunna identifiera cybersäkerhetsstörningar och för att kunna hålla lägesbilden tillräckligt uppdaterad. Det innebär vanligen att det finns god sannolikhet för att avvärjande åtgärder vidtas när en störning pågår och att åtgärderna har dimensionerats på rätt sätt. På så sätt kan organisationen begränsa skador även om dessa inte kan förhindras fullständigt.</t>
  </si>
  <si>
    <t>Organisationen har en utomordentlig kapacitet att samla in, korrelera och analysera information som är relevant med tanke på störningar. Det innebär vanligen att cybersäkerhetsstörningar upptäcks i tid och att störningarna därför kan åtgärdas fort. Till följd av detta har organisationen goda möjligheter att begränsa eller till och med förhindra skador samtidigt som ett angrepp inträffar.</t>
  </si>
  <si>
    <t>Identifiera</t>
  </si>
  <si>
    <t>Organisationen har en mycket begränsad kapacitet att identifiera och hantera cybersäkerhetsrisker mot system, personal, skyddade objekt, information och kritiska tjänster. Detta leder vanligen till en ineffektiv fördelning av resurser och investeringar samt ett misslyckat skydd av sådana kritiska tjänster som organisationen eller externa parter är beroende av. Det finns hög sannolikhet för oväntade cybersäkerhetsstörningar som påverkar organisationens kärnprocesser avsevärt.</t>
  </si>
  <si>
    <t>Organisationen har en baskapacitet att identifiera och hantera cybersäkerhetsrisker mot system, personal, skyddade objekt, information och kritiska tjänster. Processen är dock inte nödvändigtvis systematisk och beaktar inte heller hela affärskontexten och organisationen som en del av samhället. Detta kan i sin tur leda till brister i identifieringen och hanteringen av betydande risker. Det innebär vanligen att åtminstone en del av resurserna inte används på ett optimalt sätt och att de åtgärder som ska vidtas inte nödvändigtvis riktas till de mest betydande cybersäkerhetsriskerna.</t>
  </si>
  <si>
    <t>Organisationen har en god kapacitet att identifiera och hantera cybersäkerhetsrisker mot system, personal, skyddade objekt, information och kritiska tjänster, men har även några svaga delområden. Det innebär vanligen att vissa cybersäkerhetsrisker inte har hanterats och att detta försämrar organisationens allmänna kapacitet att återställa verksamheten.</t>
  </si>
  <si>
    <t>Organisationen har en utomordentlig kapacitet att identifiera och hantera cybersäkerhetsrisker mot system, personal, skyddade objekt, information och kritiska tjänster. Det innebär vanligen att resurserna och de åtgärder som ska vidtas är fördelade på ett optimalt sätt utifrån allvarlighetsgraden och riskerna. Det är osannolikt att organisationen drabbas av cybersäkerhetsstörningar som inte tidigare har identifierats.</t>
  </si>
  <si>
    <t>Skydda</t>
  </si>
  <si>
    <t>Organisationen har en mycket begränsad kapacitet att skydda sina kritiska tjänster mot cybersäkerhetshot och cybersäkerhetsstörningar. Det innebär vanligen att organisationen drabbas av ett stort antal störningar och/eller att deras verkningar är betydligt större än vad som är nödvändigt och att störningarna medför onödigt stora kostnader, interna/externa verkningar och verkningar på organisationens anseende. Detta betonas i ännu större utsträckning, om identifieringskapaciteten är låg.</t>
  </si>
  <si>
    <t>Organisationen har en baskapacitet att skydda sina kritiska tjänster mot cybersäkerhetshot och cybersäkerhetsstörningar, men kapacitetens omfattning är inte systematisk och innehåller flera svaga delområden. Det innebär vanligen att skyddsåtgärderna inte nödvändigtvis har riktats eller dimensionerats utifrån hur kritiska tjänsterna och informationen är. Detta leder å ena sidan till en bristfällig fördelning av resurser och investeringar, å andra sidan till brister i skyddet av kritiska tjänster.</t>
  </si>
  <si>
    <t>Organisationen har en god kapacitet att skydda sina kritiska tjänster mot cybersäkerhetshot och cybersäkerhetsstörningar, men har vissa svaga delområden. Det innebär vanligen gråa områden eller brister i skyddet, även om alla kritiska tjänster och data är skyddade. Detta kan leda till onödigt stora kostnader och ett onödigt stort antal störningar.</t>
  </si>
  <si>
    <t>Organisationen har en utomordentlig kapacitet att skydda sina kritiska tjänster mot cybersäkerhetshot och cybersäkerhetsstörningar på alla viktiga affärsområden. Det innebär vanligen att det sker färre störningar i organisationen och störningarnas interna och externa verkningar är mindre och att kostnaderna och verkningarna på organisationens anseende på så sätt är mindre.</t>
  </si>
  <si>
    <t>Återställ</t>
  </si>
  <si>
    <t>Organisationen har en mycket begränsad kapacitet att vidta och genomföra nödvändiga åtgärder för att återställa verksamheten efter cyberangrepp. Det innebär vanligen att återställningen pågår under lång tid och att kostnaderna, störningarnas verkningar och skadorna på organisationens anseende därför kan öka avsevärt.</t>
  </si>
  <si>
    <t>Organisationen har en baskapacitet att vidta och genomföra nödvändiga åtgärder för att återställa verksamheten efter cyberangrepp. Det innebär vanligen att återställandet inte nödvändigtvis omfattar alla affärsområden, de återställande åtgärderna inte genomförs i optimal ordning eller återställandet inte sker så fort som det krävs med tanke på affärsverksamheten. Detta kan leda till sådana skador på anseendet, ökade kostnader eller ökade verkningar av störningar som annars skulle ha kunnat förebyggas.</t>
  </si>
  <si>
    <t>Organisationen har en god kapacitet att vidta och genomföra nödvändiga åtgärder för att återställa verksamheten efter cyberangrepp. Det innebär vanligen att organisationen i de flesta situationer kan hålla kostnaderna, störningens verkningar och skadan på anseendet på en godtagbar nivå.</t>
  </si>
  <si>
    <t>Organisationen har en utomordentlig kapacitet att vidta och genomföra nödvändiga åtgärder för att återställa verksamheten efter cyberangrepp. Det innebär vanligen att de återställande åtgärderna kan genomföras inom förutspådd tid och i optimal ordning. I vissa situationer är det på så sätt möjligt att minska kostnaderna, skadorna på anseendet och andra verkningar på grund av störningar.</t>
  </si>
  <si>
    <t>Åtgärda</t>
  </si>
  <si>
    <t>Organisationen har en mycket begränsad kapacitet att vidta rättidiga och samordnade åtgärder för att avvärja cyberangrepp. Det innebär vanligen att det är sannolikt att ett angrepp och skador fortfarande inte kan förhindras eller begränsas, även om angreppet  har identifierats i tid.</t>
  </si>
  <si>
    <t>Organisationen har en baskapacitet att vidta rättidiga åtgärder för att avvärja cyberangrepp, men att processen inte nödvändigtvis har samordnats eller testats särskilt bra. Det innebär vanligen att det är sannolikt att avvärjande åtgärder fortfarande inte förhindrar och begränsar ett angrepp och skador till följd av angreppet även om angreppet har identifierats i tid.</t>
  </si>
  <si>
    <t>Organisationen har en god kapacitet att vidta rättidiga och samordnade åtgärder för att avvärja cyberangrepp. Det innebär vanligen att det är möjligt att ett angrepp och skador till följd av angreppet  kan begränsas till en viss punkt, om angreppet har identifierats i tid.</t>
  </si>
  <si>
    <t>Organisationen har en utomordentlig kapacitet att vidta rättidiga och samordnade åtgärder för att avvärja cyberangrepp. Det innebär vanligen att det är sannolikt att ett angrepp och skador till följd av angreppet kan begränsas eller till och med förhindras, om angreppet har identifierats i tid.</t>
  </si>
  <si>
    <t>Cybersäkerhetsstrategi</t>
  </si>
  <si>
    <t>Cybersäkerhetsstrategin används som underlag för ett cybersäkerhetsprogram. Cybersäkerhetsstrategin innefattar i sin enklaste form en förteckning över cybersäkerhetsmål och en plan för uppnående av målen. På en högre mognadsnivå är strategin fullständigare och innefattar prioriteringar, en beskrivning av hanteringsmodellen och en organisationsstruktur för cybersäkerhetsprogrammet samt starkare deltagande av högsta ledningen i planeringen av programmet.</t>
  </si>
  <si>
    <t>Organisationen har en cybersäkerhetsstrategi som utvecklas och/eller hanteras, åtminstone i enskilda fall</t>
  </si>
  <si>
    <t>Cybersäkerhetsstrategin fastställer cybersäkerhetsmål för organisationen.</t>
  </si>
  <si>
    <t>Cybersäkerhetsstrategin och dess prioriteringar har dokumenterats. Cybersäkerhetsstrategin stöder organisationens allmänna strategiska mål och ligger i linje med riskerna mot den kritiska infrastrukturen.</t>
  </si>
  <si>
    <t>Cybersäkerhetsstrategin fastställer hur organisationen styr den allmänna hanteringsmodellen och aktiviteterna i fråga om cybersäkerhet.</t>
  </si>
  <si>
    <t>De standarder och/eller anvisningar som ska följas som en del av cybersäkerhetsstrategin har identifierats i strategin</t>
  </si>
  <si>
    <t>Alla relevanta krav på överensstämmelse som ska uppfyllas har identifierats i cybersäkerhetsstrategin</t>
  </si>
  <si>
    <t>Cybersäkerhetsstrategin uppdateras för att den ska motsvara förändringar som sker i affärsverksamheten, omvärlden eller hotbilden (THREAT-1d)</t>
  </si>
  <si>
    <t>Högsta ledningen ger stöd i anslutning till utveckling, uppdatering och genomförande av cybersäkerhetspolicyerna</t>
  </si>
  <si>
    <t>Organisationen samarbetar med externa aktörer för att stöda utveckling och implementering av cybersäkerhetsstandarder, anvisningar, ledande praxis, inlärda erfarenheter och tekniker</t>
  </si>
  <si>
    <t>Beakta cybersäkerheten i verksamhetskontinuiteten</t>
  </si>
  <si>
    <t>Säkerhetskopior av IT-, OT- och informationstillgångar finns tillgängliga och har testats åtminstone i enskilda fall</t>
  </si>
  <si>
    <t>Skyddade objekt som är viktiga för verksamhetens kontinuitet har identifierats och dokumenterats i kontinuitetsplanerna</t>
  </si>
  <si>
    <t>Kontinuitetsplanerna tar ställning till IT-, OT- och datalager som är viktiga för verksamhetens kontinuitet, inklusive tillgången på säkerhetskopior samt ersättande och extra skyddade IT- och OT-tillgångar</t>
  </si>
  <si>
    <t>Kontinuitetsplanerna testas genom utvärderingar och övningar (t.ex. genomgång, simuleringsövning, beroendeövning, test av återställande av säkerhetskopior) enligt intervall som organisationen har fastställt.</t>
  </si>
  <si>
    <t>En återställningstid (RTO, Recovery Time Objective) och en målsättning för återställande av data (Recovery Point Objective, RPO) har fastställts för skyddade objekt som är viktiga för verksamhetens kontinuitet, och ingår i kontinuitetsplanerna</t>
  </si>
  <si>
    <t>Kontinuitetsplanerna testas genom utvärderingar och övningar enligt intervall som organisationen har fastställt och de innefattar aktuella cyberhotscenarier</t>
  </si>
  <si>
    <t>Kontinuitetsplanerna ligger i linje med risktaxonomin (RISK-2e) och hotbilden (THREAT-1d), så att de identifierade riskklassernas och hotens omfattning kan säkerställas</t>
  </si>
  <si>
    <t>Resultaten av testerna och aktiveringarna av kontinuitetsplanerna jämförs med återställningsmålen, och planerna förbättras ändamålsenligt</t>
  </si>
  <si>
    <t>Kontinuitetsplanerna granskas och uppdateras regelbundet</t>
  </si>
  <si>
    <t>Dokumenterad praxis, som följs och uppdateras, har fastställts för ämnesområdet PROGRAM</t>
  </si>
  <si>
    <t>Den personal som utför aktiviteter i anslutning till ämnesområdet PROGRAM har de kunskaper och färdigheter som behövs för dessa uppgifter</t>
  </si>
  <si>
    <t>Personalen har tilldelats ansvar och befogenheter att utföra uppgifter i anslutning till ämnesområdet PROGRAM.</t>
  </si>
  <si>
    <t>Aktiviteter i anslutning till ämnesområdet PROGRAM baserar sig på dokumenterade policyer eller andra bestämmelser inom organisationen.</t>
  </si>
  <si>
    <t>För funktionerna inom ämnesområdet PROGRAM finns fastställda prestationsmål och uppnåendet av målen följs upp (PROGRAM-1b)</t>
  </si>
  <si>
    <t>Dokumenterad praxis för ämnesområdet PROGRAM har standardiserats och utvecklas i hela organisationen</t>
  </si>
  <si>
    <t>Redovisningen av cybersäkerhetsincidenter ligger i linje med organisationens riskkriterier (RISK-2b)</t>
  </si>
  <si>
    <t>Team som deltar i behandlingen av händelser och incidenter i cybersäkerheten deltar i gemensamma övningar med andra organisationer (t.ex. skrivbordsövningar, simulationer)</t>
  </si>
  <si>
    <t>Dokumenterad praxis, som följs och uppdateras, har fastställts för ämnesområdet RESPONSE</t>
  </si>
  <si>
    <t>Tillräckliga resurser (personal, finansiering, verktyg) finns att tillgå för att stöda funktioner i anslutning till ämnesområdet RESPONSE</t>
  </si>
  <si>
    <t>Den personal som utför aktiviteter i anslutning till ämnesområdet RESPONSE har de kunskaper och färdigheter som behövs för dessa uppgifter</t>
  </si>
  <si>
    <t>Personalen har tilldelats ansvar och befogenheter att utföra uppgifter i anslutning till ämnesområdet RESPONSE.</t>
  </si>
  <si>
    <t>Aktiviteter i anslutning till ämnesområdet RESPONSE baserar sig på dokumenterade policyer eller andra bestämmelser inom organisationen.</t>
  </si>
  <si>
    <t>För funktionerna inom ämnesområdet RESPONSE finns fastställda prestationsmål och uppnåendet av målen följs upp (PROGRAM-1b)</t>
  </si>
  <si>
    <t>Dokumenterad praxis för ämnesområdet RESPONSE har standardiserats och utvecklas i hela organisationen</t>
  </si>
  <si>
    <t>Riskhantering</t>
  </si>
  <si>
    <t>Ta fram, använd och underhåll ett system för organisationsövergripande riskhantering så att det är möjligt att identifiera, analysera och minska cybersäkerhetsriskerna i organisationen (inbegripet affärsenheter, dotterföretag, integrerade infrastrukturer och andra berörda parter).</t>
  </si>
  <si>
    <t>Hantera cybersäkerhetsrisker</t>
  </si>
  <si>
    <t>Hanteringen av cybersäkerhetsrisker omfattar identifiering, bedömning, behandling (godkännande, undvikande, minskning eller överföring) och uppföljning. Hanteringen tar hänsyn till behoven i affärsverksamheten och organisationen. En organisationsövergripande förståelse av riskhanteringsstrategin står i centrum för att aktiviteterna ovan ska kunna genomföras. Genom en fastställd riskklassificering kan organisationen behandla och kontrollera risker på ett konsekvent sätt. Ett riskregister, dvs. en förteckning över identifierade risker och information om risker, stöder denna process. 
Andra ämnesområden i självutvärderningen, som SITUATION och RESPONSE, hänvisar till riskregistret och visar hur praxis enligt denna modell fungerar kraftfullare när de är kopplade till hantering av cybersäkerhetsrisker.</t>
  </si>
  <si>
    <t>Cybersäkerhetsriskerna identifieras och dokumenteras, åtminstone i enskilda fall</t>
  </si>
  <si>
    <t xml:space="preserve">Cybersäkerhetsrisker hanteras och riskhanteringsåtgärder vidtas åtminstone i enskilda fall. Som metoder används att acceptera, undvika, minska eller överföra risken. </t>
  </si>
  <si>
    <t>Riskbedömningar görs för att cybersäkerhetsrisker ska kunna identifieras i enlighet med de tidpunkter som fastställts i organisationen (t.ex. förfluten tid, ändringar i infrastrukturen, ändringar i hotbilden)</t>
  </si>
  <si>
    <t>Cybersäkerhetsriskerna dokumenteras i riskregistret (en strukturerad förteckning över identifierade risker)</t>
  </si>
  <si>
    <t>Cybersäkerhetsriskerna analyseras för val och prioritering av hanteringsåtgärder i enlighet med de riskkriterier som fastställts i organisationen (RISK-2b).</t>
  </si>
  <si>
    <t>Riskerna följs upp för att garantera att hanteringsåtgärderna genomförs och att organisationens mål uppnås (PROGRAM-1b).</t>
  </si>
  <si>
    <t>Riskbedömningen omfattar alla sådana tillgångar (assets) och aktiviteter som är kritiska för uppnåendet av organisationens mål.</t>
  </si>
  <si>
    <t>Riskhanteringsorganisationen fastställer riskhanteringsmetoder och riskhanteringsrutiner som uppfyller kraven i strategin/policyn för riskhantering.</t>
  </si>
  <si>
    <t>Den gällande cybersäkerhetsarkitekturen tas i beaktande när en riskanalys görs (ARCHITECTURE-1c)</t>
  </si>
  <si>
    <t>Riskregistret omfattar alla risker som identifierats genom riskbedömningar, och utnyttjas som stöd för riskhanteringsåtgärderna</t>
  </si>
  <si>
    <t>Fastställande av en strategi för hantering av cybersäkerhetsrisker</t>
  </si>
  <si>
    <t xml:space="preserve">En strategi för hantering av cybersäkerhetsrisker är en högnivåstrategi som drar upp riktlinjer för analys och prioritering av cybersäkerhetsrisker och som definierar risktoleransen. Strategin för cybersäkerhetsrelaterad riskhantering innehåller en riskbedömningsmodell, en riskkontrollstrategi och ett system för hantering av cybersäkerhet. Den innehåller en riskklassificering på organisationsnivå (t.ex. effektgränser, riskhanteringsmetoder). Riskklassificeringen styr systemet för hantering av cybersäkerhet, vilket behandlas i avsnittet "System för hantering av cybersäkerhet". Strategin för hantering av cybersäkerhet bör stämma överens med organisationens riskhanteringsstrategi. På så sätt är det möjligt att säkra att cyberriskerna mot organisationen hanteras på ett sätt som ligger i linje med organisationens mission och affärsmål. </t>
  </si>
  <si>
    <t>En dokumenterad strategi/policy för hantering av cyberriskrisker finns att tillgå.</t>
  </si>
  <si>
    <t>Organisationen har fastställt och publicerat kriterier för cyberriskbedömning. Kriterierna används vid bedömning, klassificering och prioritering av operativa risker. Bedömningskriterierna tar hänsyn till riskernas omfattning, risktoleransen och tillgängliga riskhanteringsåtgärder.</t>
  </si>
  <si>
    <t>Strategin/policyn för hantering av cybersäkerhetsrisker definierar de tillgängliga alternativen för att avvärja risker</t>
  </si>
  <si>
    <t>Strategin/policyn för hantering av cybersäkerhetsrisker uppdateras med jämna mellanrum så att den tar hänsyn till förändringarna i hotmiljön.</t>
  </si>
  <si>
    <t>Organisationsspecifik risktaxonomi (en samling allmänt identifierade risker som riktas mot organisationen och som organisationen ska hantera) har dokumenterats och används i anslutning till riskhanteringsåtgärder</t>
  </si>
  <si>
    <t>Dokumenterad praxis, som följs och uppdateras, har fastställts för ämnesområdet RISK</t>
  </si>
  <si>
    <t>Tillräckliga resurser (personal, finansiering, verktyg) finns att tillgå för att stöda funktioner i anslutning till ämnesområdet RISK</t>
  </si>
  <si>
    <t>Den personal som utför aktiviteter i anslutning till ämnesområdet RISK har de kunskaper och färdigheter som behövs för dessa uppgifter</t>
  </si>
  <si>
    <t>Personalen har tilldelats ansvar och befogenheter att utföra uppgifter i anslutning till ämnesområdet RISK.</t>
  </si>
  <si>
    <t>Aktiviteter i anslutning till ämnesområdet RISK baserar sig på dokumenterade policyer eller andra bestämmelser inom organisationen.</t>
  </si>
  <si>
    <t>För funktionerna inom ämnesområdet RISK finns fastställda prestationsmål och uppnåendet av målen följs upp (PROGRAM-1b)</t>
  </si>
  <si>
    <t>Dokumenterad praxis för ämnesområdet RISK har standardiserats och utvecklas i hela organisationen</t>
  </si>
  <si>
    <t>Lägesbild</t>
  </si>
  <si>
    <t>Ta fram och underhåll funktioner och tekniker för insamling, analys, larmning, presentation och utnyttjande av operativ information och information om cybersäkerhet genom att använda de lägesbilder och den information som nämns i andra avsnitt, så att du kan skapa en lägesbild över organisationens funktion och över cybersäkerhetsnivån.</t>
  </si>
  <si>
    <t>Genomför loggning</t>
  </si>
  <si>
    <t xml:space="preserve">Loggning bör vara införd utifrån skyddade objekts verkningar på verksamheten. Ju större potentiell inverkan exempelvis ett riskutsatt skyddat objekt har, desto mer information ska organisationen samla in om objektet. </t>
  </si>
  <si>
    <t>Loggdata samlas in om skyddade objekt som är viktiga för verksamheten, åtminstone i enskilda fall</t>
  </si>
  <si>
    <t>Loggkrav har fastställts för alla skyddade objekt som är viktiga för verksamheten</t>
  </si>
  <si>
    <t>Loggdata samlas in centralt.</t>
  </si>
  <si>
    <t>Loggkrav har fastställts riskbaserat (t.ex. en noggrannare loggning för riskutsatta skyddade objekt).</t>
  </si>
  <si>
    <t>Övervakning</t>
  </si>
  <si>
    <t>Med hjälp av uppföljning och analys av information som har samlats in via loggdata och andra källor kan organisationen förstå vilken operativ status och cybersäkerhetsstatus verksamheten har.</t>
  </si>
  <si>
    <t xml:space="preserve">Cybersäkerheten övervakas (t.ex. regelbundna granskningar av loggdata) åtminstone i enskilda fall </t>
  </si>
  <si>
    <t>Övervakningskrav och analyskrav har fastställts så att de förutsätter att information behandlas i rätt tid.</t>
  </si>
  <si>
    <t>Övervakningsåtgärderna beaktar organisationens hotbild (THREAT-1d).</t>
  </si>
  <si>
    <t>Övervakningsåtgärderna beaktar riskerna för verksamheten (med andra ord mer riskutsatta skyddade objekt kräver en noggrannare övervakning)</t>
  </si>
  <si>
    <t>Automatisk övervakning sker i hela miljön för att upptäcka verksamhet som avviker från det normala</t>
  </si>
  <si>
    <t>Ett riskregister (RISK-1d) används vid val av indikatorer på verksamhet som avviker från det normala</t>
  </si>
  <si>
    <t>Indikatorerna på verksamhet som avviker från det normala bedöms och uppdateras enligt intervall som organisationen har fastställt</t>
  </si>
  <si>
    <t>Skapa och uppdatera lägesbilden</t>
  </si>
  <si>
    <t>Information om lägesbilden till relevanta beslutsfattare är kärnan i en samlad lägesbild. Trots att flera implementeringar av en samlad lägesbild kan innehålla visuella element (t.ex. manöverpaneler, kartor eller andra grafiska användargränssnitt), är de inte obligatoriska för att uppnå målen. Organisationer kan även använda andra metoder för att informera om lägesbilden.</t>
  </si>
  <si>
    <t>Metoder för information om nuläget i cybersäkerheten har fastställts och underhålls.</t>
  </si>
  <si>
    <t>Övervakningsdata samlas in för att förstå verksamhetens operativa status</t>
  </si>
  <si>
    <t>För lägesbilden insamlas relevanta data inom hela organisationen.</t>
  </si>
  <si>
    <t>Krav på rapportering av lägesbilden har fastställts och i kraven tar organisationen ställning till spridning av rättidig information om cybersäkerhet till de övriga parter som organisationen har fastställt (t.ex. staten, relaterade organisationer, leverantörer, organisationer inom sektorn, kontrollörer, interna entiteter)</t>
  </si>
  <si>
    <t>Övervakningsdata samlas in för att få en förståelse av cybersäkerhetens status i realtid</t>
  </si>
  <si>
    <t>Extern information som är relevant för organisationen samlas in och görs tillgänglig i organisationen för att fördjupa lägesbilden (THREAT-1g, THREAT-2i)</t>
  </si>
  <si>
    <t>För analys av mottagen information om cybersäkerhet och för avlägsnande av överlappningar finns det processer som stöder utformningen av en lägesbild</t>
  </si>
  <si>
    <t>I förväg fastställda processer har dokumenterats och aktiveras (via en manuell eller automatisk process) utifrån analyserad och sammanslagen information (THREAT-1k, RESPONSE-3k)</t>
  </si>
  <si>
    <t>Dokumenterad praxis, som följs och uppdateras, har fastställts för ämnesområdet SITUATION</t>
  </si>
  <si>
    <t>Tillräckliga resurser (personal, finansiering, verktyg) finns att tillgå för att stöda funktioner i anslutning till ämnesområdet SITUATION</t>
  </si>
  <si>
    <t>Den personal som utför aktiviteter i anslutning till ämnesområdet SITUATION har de kunskaper och färdigheter som behövs för dessa uppgifter</t>
  </si>
  <si>
    <t>Personalen har tilldelats ansvar och befogenheter att utföra uppgifter i anslutning till ämnesområdet SITUATION.</t>
  </si>
  <si>
    <t>Aktiviteter i anslutning till ämnesområdet SITUATION baserar sig på dokumenterade policyer eller andra bestämmelser inom organisationen.</t>
  </si>
  <si>
    <t>För funktionerna inom ämnesområdet SITUATION finns fastställda prestationsmål och uppnåendet av målen följs upp (PROGRAM-1b)</t>
  </si>
  <si>
    <t>Dokumenterad praxis för ämnesområdet SITUATION har standardiserats och utvecklas i hela organisationen</t>
  </si>
  <si>
    <t>Hantera hot och sårbarheter</t>
  </si>
  <si>
    <t>Inför och uppdatera planer, processer och tekniker för att upptäcka, identifiera, analysera, hantera och åtgärda cybersäkerhetshot och sårbarheter med hänsyn till riskerna mot organisationens infrastruktur (t.ex. kritisk infrastruktur, IT-infrastruktur, operativ infrastruktur) och mål.</t>
  </si>
  <si>
    <t>Identifiera och hantera hot</t>
  </si>
  <si>
    <t>Identifiering och hantering av hot inleds genom insamling av användbar information om hot ur tillförlitliga källor, genom tolkning av insamlad information i organisationens kontext och genom åtgärdande av hot som har kapacitet, motivation och möjlighet att påverka tillhandahållandet av tjänster. En hotbild kan användas för en mer precis identifiering av hot, i en riskanalysprocess (RISK) och/eller för att skapa en lägesbild, såsom det beskrivs i ämnesområdet SITUATION.</t>
  </si>
  <si>
    <t>Interna och externa källor till information som samlas in för hantering av hot har identifierats (t.ex. Cybersäkerhetscentret, andra organisationer inom samma sektor, leverantörer), åtminstone i enskilda fall</t>
  </si>
  <si>
    <t>Information om hot samlas in och tolkas ur organisationens perspektiv åtminstone i enskilda fall</t>
  </si>
  <si>
    <t>Nödvändiga åtgärder vidtas med tanke på hot som är relevanta för verksamheten (t.ex. implementering av kontroller, övervakning av hotnivån), åtminstone i enskilda fall</t>
  </si>
  <si>
    <t>En hotbild har tagits fram för organisationen och den innehåller exempelvis hotets sannolikhet, motivation, ändamålsenlighet, kapacitet och objekt</t>
  </si>
  <si>
    <t>Informationskällor som motsvarar alla komponenter i hotbilden prioriteras och övervakas</t>
  </si>
  <si>
    <t>Identifierade hot analyseras, prioriteras och avvärjs med nödvändiga åtgärder</t>
  </si>
  <si>
    <t>Information om hot lämnas till valda personer och/eller organisationer</t>
  </si>
  <si>
    <t>Hotbilden uppdateras enligt intervall som organisationen har fastställt.</t>
  </si>
  <si>
    <t>Hot som medför en risk för verksamheten beaktas i riskhanteringsprocessen så att de kan åtgärdas (RISK-1e)</t>
  </si>
  <si>
    <t>Vid övervakningen av hot och motåtgärder utnyttjas befintliga verksamhetsmodeller (SITUATION-3h)</t>
  </si>
  <si>
    <t>Aktörer som är relevanta för delningen av information om hot har identifierats och engagerats utifrån aktörernas betydelse för verksamhetens kontinuitet (t.ex. staten, relaterade organisationer, leverantörer, aktörer inom sektorn, kontrollörer, ISAC, interna entiteter)</t>
  </si>
  <si>
    <t>Säkra, automatiserade verktyg används för publicering, behandling och analys av information om hot samt för avvärjande av hot</t>
  </si>
  <si>
    <t>Hantering av sårbarheter</t>
  </si>
  <si>
    <t xml:space="preserve">Hantering av sårbarheter inleds genom insamling och analys av information om sårbarheter. Sårbarheter kan kartläggas exempelvis med automatiska skannrar och genom penetrationstester i nät, cybersäkerhetsövningar och revisioner. I en analys av sårbarheter ska hänsyn tas till lokala verkningar (sårbarheternas potentiella verkningar på skyddade objekt) och betydelsen av skyddade objekt för tjänster som tillhandahålls. Sårbarheter kan förebyggas genom att vidta skyddsåtgärder, övervaka hotnivån, installera säkerhetsuppdateringar eller på annat sätt. </t>
  </si>
  <si>
    <t>Källor till information som samlas in för hantering av sårbarheter har identifierats (t.ex. CERT-FI, andra organisationer inom samma sektor, leverantörer), åtminstone i enskilda fall</t>
  </si>
  <si>
    <t>Information om sårbarheter samlas in och tolkas ur organisationens perspektiv åtminstone i enskilda fall</t>
  </si>
  <si>
    <t>Kartläggningar av sårbarheter görs (t.ex. genomgång av applikationer och enheter som är i slutskedet av livscykeln, sårbarhetsskannrar, penetrationstester) åtminstone i enskilda fall</t>
  </si>
  <si>
    <t>Sårbarheter som är relevanta för verksamheten behandlas (t.ex. implementering av kontroller, programvarukorrigeringar) åtminstone i enskilda fall</t>
  </si>
  <si>
    <t>Information om sårbarheter samlas in ur källor så att alla skyddade objekt som är viktiga för organisationen övervakas.</t>
  </si>
  <si>
    <t>Kartläggningar av sårbarheter görs enligt intervall som organisationen har fastställt</t>
  </si>
  <si>
    <t>Identifierade sårbarheter analyseras, prioriteras (t.ex. NIST Common Vulnerability Scoring System kan användas på applikationssårbarheter och interna anvisningar på andra typer av sårbarheter) och organisationen åtgärdar dem på ett ändamålsenligt sätt</t>
  </si>
  <si>
    <t>Programvarukorrigeringars operativa verkningar utvärderas innan korrigeringarna installeras.</t>
  </si>
  <si>
    <t>Information om upptäckta sårbarheter delas med de aktörer som organisationen har fastställt</t>
  </si>
  <si>
    <t>Kartläggningar av sårbarheter görs för skyddade objekt som är kritiska för verksamheten enligt intervall som organisationen har fastställt</t>
  </si>
  <si>
    <t>Kartläggningar av sårbarheter görs av en part som är oberoende av den operativa organisationen.</t>
  </si>
  <si>
    <t>De identifierade sårbarheter som medför en risk för verksamheten beaktas i riskhanteringsprocessen så att de kan behandlas (RISK-1e)</t>
  </si>
  <si>
    <t>Kontinuerlig övervakning av riskerna innefattar en bedömning och säkring av vidtagna åtgärder mot sårbarheter (t.ex. programvarukorrigeringar eller andra åtgärder), när det är nödvändigt</t>
  </si>
  <si>
    <t>Dokumenterad praxis, som följs och uppdateras, har fastställts för delområdet THREAT</t>
  </si>
  <si>
    <t>Tillräckliga resurser (personal, finansiering, verktyg) finns att tillgå för att stöda funktioner i anslutning till delområdet THREAT</t>
  </si>
  <si>
    <t>Den personal som utför aktiviteter i anslutning till delområdet THREAT har de kunskaper och färdigheter som behövs för dessa uppgifter</t>
  </si>
  <si>
    <t>Personalen har tilldelats ansvar och befogenheter att utföra uppgifter i anslutning till delområdet THREAT.</t>
  </si>
  <si>
    <t>Aktiviteter i anslutning till delområdet THREAT baserar sig på dokumenterade policyer eller andra bestämmelser inom organisationen.</t>
  </si>
  <si>
    <t>För funktionerna inom delområdet THREAT finns fastställda prestationsmål och uppnåendet av målen följs upp (PROGRAM-1b)</t>
  </si>
  <si>
    <t>Dokumenterad praxis för delområdet THREAT har standardiserats och utvecklas i hela organisationen</t>
  </si>
  <si>
    <t>Personaladministration</t>
  </si>
  <si>
    <t>Inför och uppdatera planer, processer, tekniker och kontroller för att kunna upprätthålla en cybersäkerhetskultur och säkerställa en lämplig och kompetent personal med hänsyn till riskerna mot den kritiska infrastrukturen och organisationens mål.</t>
  </si>
  <si>
    <t>Ansvar för cybersäkerhet</t>
  </si>
  <si>
    <t>En viktig del av fastställandet av ansvarsområden inom cybersäkerhet är att säkra att enskilda ansvarsområden är tillräckligt omfattande och att ersättare har fastställts. Det är till exempel ofta enkelt att fastställa specifika personalroller som har ett betydande cybersäkerhetsansvar, men det är svårt att upprätthålla rollerna. Det är högst viktigt att göra upp planer för utbildning, testning, säkring av ersättare och bedömning av prestationer för nyckelroller inom cybersäkerhet (t.ex. systemadministratörer). Ansvarsområden inom cybersäkerhet är naturligtvis inte endast begränsade till konventionella IT-roller, utan till exempel vissa utvecklare kan ha vissa ansvarsområden.</t>
  </si>
  <si>
    <t>Ansvarsområdena inom cybersäkerhet har identifierats åtminstone i enskilda fall</t>
  </si>
  <si>
    <t>Ansvarsområdena inom cybersäkerhet har fastställts för utsedda personer åtminstone i enskilda fall</t>
  </si>
  <si>
    <t>Ansvarsområdena inom cybersäkerhet har fastställts för utsedda roller, som även kan innehas av externa tjänsteleverantörer (t.ex. en internettjänsteleverantör, aktörer som erbjuder säkerhet som en tjänst, leverantörer av molntjänster, IT/OT-tjänsteleverantörer).</t>
  </si>
  <si>
    <t>Ansvarsområdena inom cybersäkerhet har dokumenterats (t.ex. i befattningsbeskrivningar och målkriterier)</t>
  </si>
  <si>
    <t>Ansvarsområdena inom cybersäkerhet och kraven på arbetsuppgifter granskas och uppdateras enligt intervall som organisationen har fastställt (t.ex. efter en viss tid, vid personalbyte, ändring av processer)</t>
  </si>
  <si>
    <t>Omfattningen och tillräckligheten av fastställda ansvarsområden inom cybersäkerhet utvärderas och hanteras, även med beaktande av successionsplaneringen</t>
  </si>
  <si>
    <t>Cybersäkerhetspersonalens utveckling</t>
  </si>
  <si>
    <t>Utvecklingen av personal som förstår cybersäkerhet omfattar utbildning och rekrytering i syfte att höja identifierade bristande kompetenser. Rekryteringsrutiner ska till exempel säkra att rekryterare och intervjuare är medvetna om behoven vad gäller cybersäkerhetspersonal. Dessutom bör nya personer (och leverantörer) genomgå en cybersäkerhetsutbildning för att deras utsatthet för social manipulering och andra hot ska kunna minska.</t>
  </si>
  <si>
    <t>Cybersäkerhetsutbildning erbjuds personer som har skyldigheter och ansvar inom cybersäkerhet, åtminstone i enskilda fall</t>
  </si>
  <si>
    <t>Brister i kunskaper, färdigheter och kvalifikationer inom cybersäkerhet utvärderas och identifieras med tanke på nuvarande och kommande behov</t>
  </si>
  <si>
    <t>Åtgärder i anslutning till utbildning, rekrytering och behållande av arbetskraften ligger i linje med identifierade brister på arbetskraft</t>
  </si>
  <si>
    <t>Ett godkänt betyg i cybersäkerhetsutbildning är ett krav innan åtkomst till system, rum och information beviljas (en arbetsintroduktion)</t>
  </si>
  <si>
    <t>Effektiviteten i cybersäkerhetsutbildningen utvärderas enligt intervall som organisationen har fastställt, och lämpliga förbättringsåtgärder vidtas</t>
  </si>
  <si>
    <t>Utbildningsprogram innehåller kontinuerlig utbildning och möjligheter till yrkesmässig utveckling för personer som har betydande ansvar inom cybersäkerhet</t>
  </si>
  <si>
    <t>Använd personaladministrationskontroller</t>
  </si>
  <si>
    <t>Personaladministrationskontrollerna omfattar bakgrundskontroller av anställda (t.ex. säkerhetsutredningar) och en riskbaserad utnämning av anställda till arbetsuppgifter med åtkomst till skyddade objekt som är integrerade i tillhandahållandet av kritiska tjänster. En högre risknivå fastställs till exempel för systemadministratörer (som vanligen har rättigheter att göra ändringar i inställningarna, redigera eller radera loggdata, skapa nya konton och byta lösenord). Nödvändiga åtgärder vidtas för att skydda system till följd av sådana användares avsiktliga och oavsiktliga aktiviteter.</t>
  </si>
  <si>
    <t>När nya personer anställs för arbetsuppgifter med åtkomst till kritiska objekt (rum, utrustning, informationssystem, information), kontrolleras deras bakgrunder (t.ex. säkerhetsutredningar, drogtester), åtminstone i enskilda fall.</t>
  </si>
  <si>
    <t>Cybersäkerheten beaktas i processen för upphörande av anställningar, åtminstone i enskilda fall</t>
  </si>
  <si>
    <t>Bakgrunder för personer som har åtkomst till kritiska objekt (rum, utrustning, informationssystem, information) kontrolleras vid tidpunkter som organisationen har fastställt.</t>
  </si>
  <si>
    <t>Cybersäkerheten beaktas i processerna för intern överföring av anställda.</t>
  </si>
  <si>
    <t>En kontroll av bakgrund görs för alla positioner (inklusive personal, leverantörer och konsulter) i den omfattning som risknivån kräver.</t>
  </si>
  <si>
    <t>För personer som inte följer informationssäkerhetskraven och informationssäkerhetsprocesserna har det fastställts en formell process för ansvarsutkrävande som inkluderar disciplinära förfaranden</t>
  </si>
  <si>
    <t>Öka medvetenheten om cybersäkerhet</t>
  </si>
  <si>
    <t>Åtgärder för att öka medvetenheten om cybersäkerhet vidtas åtminstone i enskilda fall</t>
  </si>
  <si>
    <t>Mål för medvetenhet om cybersäkerhet har fastställts och uppdateras (PROGRAM-1b)</t>
  </si>
  <si>
    <t>Organisationens hotbild (THREAT-1d) påverkar innehållet i de åtgärder som syftar till att öka medvetenheten om cybersäkerhet</t>
  </si>
  <si>
    <t>Åtgärderna för medvetenhet om cybersäkerhet ligger i linje med i förväg fastställda situationer i verksamheten (SITUATION-3h).</t>
  </si>
  <si>
    <t>Effektiviteten i åtgärderna för att öka medvetenheten om cybersäkerhet utvärderas vid tidpunkter som organisationen har fastställt, och lämpliga förbättringsåtgärder vidtas.</t>
  </si>
  <si>
    <t>Dokumenterad praxis, som följs och uppdateras, har fastställts för ämnesområdet WORKFORCE</t>
  </si>
  <si>
    <t>Tillräckliga resurser (personal, finansiering, verktyg) finns att tillgå för att stöda funktioner i anslutning till ämnesområdet WORKFORCE</t>
  </si>
  <si>
    <t>Den personal som utför aktiviteter i anslutning till ämnesområdet WORKFORCE har de kunskaper och färdigheter som behövs för dessa uppgifter</t>
  </si>
  <si>
    <t>Personalen har tilldelats ansvar och befogenheter att utföra uppgifter i anslutning till ämnesområdet WORKFORCE.</t>
  </si>
  <si>
    <t>Aktiviteter i anslutning till ämnesområdet WORKFORCE baserar sig på dokumenterade policyer eller andra bestämmelser inom organisationen.</t>
  </si>
  <si>
    <t>För funktionerna inom ämnesområdet WORKFORCE finns fastställda prestationsmål och uppnåendet av målen följs upp (PROGRAM-1b)</t>
  </si>
  <si>
    <t>Dokumenterad praxis för ämnesområdet WORKFORCE har standardiserats och utvecklas i hela organisationen</t>
  </si>
  <si>
    <t>Avvikande inloggningar övervakas som potentiella indikatorer på cybersäkerhetshändelser.</t>
  </si>
  <si>
    <t>Nätsegmentering genomförs på fysisk eller logisk nivå och syftet är att minska angreppsytan. I en optimal situation har varje enhet i ett visst nätsegment ett giltigt existensberättigande i det aktuella segmentet.</t>
  </si>
  <si>
    <t>Minimera cybersäkerhetsincidenters verkningar på kritiska tjänster</t>
  </si>
  <si>
    <t>Organisationen ska ha en väl uppgjord och testad process för hantering av cybersäkerhetshändelser och cybersäkerhetsincidenter, och huvudsyftet med processen ska vara att säkra kontinuiteten i de kritiska tjänsterna, om det uppstår fel i ett system eller en tjänst. Åtgärder för att begränsa eller minska verkningar ska ha införts och är skalbara enligt totalrisken och totalverkningen.</t>
  </si>
  <si>
    <t>Planen för hantering av cybersäkerhetshändelser och cybersäkerhetsincidenter omfattar alla kritiska system.</t>
  </si>
  <si>
    <t>Planen för hantering av cybersäkerhetshändelser och cybersäkerhetsincidenter omfattar scenarier som endast gäller kända och välförstådda angrepp.</t>
  </si>
  <si>
    <t>Personer som deltar i genomförandet av planen för hantering av cybersäkerhetshändelser och cybersäkerhetsincidenter förstår det bra.</t>
  </si>
  <si>
    <t>Planen är omfattande (omfattar t.ex. alla faser av en avvikelses livscykel, roller, ansvarsområden, rapportering) och innehåller en beskrivning av sannolika verkningar av kända angreppsmetoder och av potentiella angreppsmetoder som ännu inte har förverkligats.</t>
  </si>
  <si>
    <t>Organisationen har en baskapacitet att samla in information, men kapaciteten att upptäcka cybersäkerhetsincidenter är delvis bristfällig på grund av informationens art och omfattning samt brister i analyskapaciteten. Det innebär vanligen att de avvärjande åtgärderna fördröjs och att besluten inte bygger på en samlad förståelse av händelsen och att organisationen därför, trots genomförda åtgärder, är sårbar vid betydande informationsläckor eller skador.</t>
  </si>
  <si>
    <t>Cybersäkerhetsstrategin och planerna för verksamhetens kontinuitet bör vara sinsemellan samordnade. Samordningen är viktig för uppdatering av kontinuitetsplaner och återställande av verksamheter i samband med cybersäkerhetshändelser. Hänsyn till potentiella cybersäkerhetsincidenter i kontinuitetsplanerna förutsätter att kända cyberhot och cyberriskklasser beaktas. När kontinuitetsplanerna testas bör cybersäkerhetsincidenter beaktas för att det ska vara möjligt att säkerställa att planerna fungerar vid sådana incidenter.</t>
  </si>
  <si>
    <t>Kontinuitetsplaner utvecklas med tanke på cybersäkerhetshändelser och incidenter för att kontinuiteten i och återställningen av verksamheten ska kunna säkerställas åtminstone i enskilda fall.</t>
  </si>
  <si>
    <t>Analys av verkningar av potentiella cybersäkerhetshändelser beaktas i utvecklingen av kontinuitetsplanerna</t>
  </si>
  <si>
    <t>Fastställda kriterier för cybersäkerhetsincidenter anger när kontinuitetsplanerna ska börja användas, och de enheter som undersöker cybersäkerhetsincidenter och åtgärdar dem (Incident Reponse) och de enheter som ansvarar för kontinuitetshanteringen har informerats om kriterierna</t>
  </si>
  <si>
    <t>Innehållet i kontinuitetsplanerna granskas och uppdateras regelbundet vad gäller cybersäkerhetsincidenter</t>
  </si>
  <si>
    <t>Hantera händelser och incidenter</t>
  </si>
  <si>
    <t>Inför och uppdatera planer, processer och tekniker så att händelser och incidenter i cybersäkerheten kan upptäckas, analyseras och avvärjas och verksamheten återställas i förhållande till den kritiska infrastrukturen och riskerna mot organisationens mål.</t>
  </si>
  <si>
    <t>Observera cybersäkerhetshändelser</t>
  </si>
  <si>
    <t>Observation av cybersäkerhetshändelser omfattar en central kanal för rapportering av händelser samt fastställande av bedömningskriterier. Bedömningskriterierna ska ligga i linje med strategin för hantering av cybersäkerhetsrisker så att de säkrar en konsekvent bedömning och erbjuder en struktur för identifiering av cybersäkerhetshändelser, när en cybersäkerhetshändelse ska eskaleras och när händelsen deklareras som en cybersäkerhetsincident.</t>
  </si>
  <si>
    <t>Upptäckta cybersäkerhetshändelser rapporteras åtminstone i enskilda fall till en utsedd person eller roll, som registrerar händelserna.</t>
  </si>
  <si>
    <t>Bedömningskriterier har fastställts för observation av cybersäkerhetshändelser (t.ex. definition av händelse, var händelser söks).</t>
  </si>
  <si>
    <t>Cybersäkerhetshändelser registreras centralt enligt fastställda kriterier</t>
  </si>
  <si>
    <t>Information om händelser korreleras och analyseras i syfte att identifiera eventuella mönster, trender och andra gemensamma egenskaper.</t>
  </si>
  <si>
    <t>Utifrån informationen i organisationens riskregister (RISK-1d) och hotbild (THREAT-1d) justeras funktionerna för observation av cybersäkerhetshändelser i syfte att observera kända hot och följa upp identifierade risker.</t>
  </si>
  <si>
    <t>Observationen av cybersäkerhetshändelser stöds genom att följa upp lägesbilden (SITUATION-2i).</t>
  </si>
  <si>
    <t>Analysera cybersäkerhetshändelser och deklarera incidenter</t>
  </si>
  <si>
    <t>Eskalering av cybersäkerhetshändelser omfattar att tillämpa de bedömningskriterier som avses i punkten Observation av cybersäkerhetshändelser och att identifiera situationer där en cybersäkerhetshändelse ska behandlas enligt i förväg fastställda planer. Eskalerade cybersäkerhetshändelser och cybersäkerhetsincidenter kan medföra externa krav, såsom skyldighet till myndighetsrapportering eller kundinformation. Om flera cybersäkerhetshändelser och cybersäkerhetsincidenter korreleras sinsemellan kan det avslöja systematiska problem i miljön.</t>
  </si>
  <si>
    <t>Det finns kriterier för att redovisa cybersäkerhetshändelser som incidenter åtminstone i enskilda fall.</t>
  </si>
  <si>
    <t>Cybersäkerhetshändelser analyseras för att eskalering eller höjning av händelse till incident ska kunna göras, åtminstone i enskilda fall</t>
  </si>
  <si>
    <t>Det finns en formell process för att redovisa cybersäkerhetshändelser som incidenter. Processen baserar sig på avvikelsens inverkan på verksamheten (RISK-1c).</t>
  </si>
  <si>
    <t>Kriterierna för att redovisa cybersäkerhetshändelser som incidenter uppdateras enligt intervall som organisationen har fastställt</t>
  </si>
  <si>
    <t>Händelser eskaleras utifrån fastställda kriterier</t>
  </si>
  <si>
    <t>Eskalerade cybersäkerhetshändelser och -incidenter förs in i ett register och följs upp tills de kan markeras som avslutade.</t>
  </si>
  <si>
    <t>Parterna i cybersäkerhetsverksamheten (t.ex. staten, relaterade organisationer, leverantörer, organisationer inom sektorn, kontrollörer, interna faktorer) har identifierats och meddelas om händelser och incidenter i cybersäkerheten i enlighet med de kriterier som fastställts i organisationen (SITUATION-3d)</t>
  </si>
  <si>
    <t>Cybersäkerhetsincidenter korreleras i syfte att hitta mönster, trender och andra gemensamma egenskaper.</t>
  </si>
  <si>
    <t>Behandla händelser och incidenter i cybersäkerheten</t>
  </si>
  <si>
    <t xml:space="preserve">För att cybersäkerhetsincidenter ska kunna åtgärdas ska organisationen ha en process för begränsning av cybersäkerhetsincidenternas verkningar på andra funktioner. Processen bör beskriva på vilket sätt organisationen hanterar alla faser i en incidents livscykel (t.ex. triage, behandling, kommunikation, samordning och avslutande). En granskning av erhållna erfarenheter hjälper, som en del av åtgärdandet av cybersäkerhetshändelser och cybersäkerhetsincidenter, organisationen att eliminera sårbarheter som ledde till incidenten. </t>
  </si>
  <si>
    <t>Roller och personer har utsetts för uppdraget att åtgärda händelser och incidenter i cybersäkerheten, åtminstone i enskilda fall</t>
  </si>
  <si>
    <t>Om möjligt, ska verkningarna av händelser och incidenter i cybersäkerheten begränsas och verksamheten normaliseras, åtminstone i enskilda fall</t>
  </si>
  <si>
    <t>Eskalerade händelser och incidenter i cybersäkerheten rapporteras till olika parter i cybersäkerhetsverksamheten, åtminstone i enskilda fall</t>
  </si>
  <si>
    <t>Åtgärder till följd av händelser och incidenter i cybersäkerheten genomförs enligt fastställda rutiner som beaktar alla faser i en incidents livscykel (t.ex. triage, behandling, kommunikation, samordning, avslutande).</t>
  </si>
  <si>
    <t>Händelser och incidenter i cybersäkerheten avvärjs enligt i förväg fastställda planer och processer</t>
  </si>
  <si>
    <t>Avvärjning av händelser och incidenter i cybersäkerheten övas enligt intervall som organisationen har fastställt</t>
  </si>
  <si>
    <t>Orsakerna till händelser och incidenter i cybersäkerheten analyseras, en lessons-learned-analys görs och korrigerande åtgärder genomförs</t>
  </si>
  <si>
    <t>Behandlingen av händelser och incidenter i cybersäkerheten, inbegripet insamlingen och lagringen av bevis, samordnas vid behov i samarbete med polisen eller andra myndigheter</t>
  </si>
  <si>
    <t>Vid behandlingen av händelser och incidenter i cybersäkerheten följs i förväg fastställda rutiner (SITUATION-3h)</t>
  </si>
  <si>
    <t>Produktionsmiljöer övervakas i syfte att hitta betydelsefulla cybersäkerhetshändelser, åtminstone i enskilda fall</t>
  </si>
  <si>
    <t>Indikatorer har ställts in i systemen för att upptäcka verksamhet som avviker från det normala, och indikatorerna uppdateras och övervakas i hela produktionsmiljön. Indikatorerna baserar sig på systemens loggdata, dataflöden, cybersäkerhetshändelser och systemets arkitektur.</t>
  </si>
  <si>
    <t>Larmgränser har ställts in i systemen och ses över för att de ska hjälpa till att identifiera cybersäkerhetshändelser (RESPONSE-1b)</t>
  </si>
  <si>
    <t>Det är lika viktigt att öka medvetenheten om cybersäkerhet som att implementera tekniska kontroller i syfte att förbättra cybersäkerheten i organisationen. Ofta inleds ett cyberangrepp så att angriparen får fotfäste i organisationens IT- och OT-system. Angriparen kan till exempel skapa ett förtroendeförhållande till en oförsiktig anställd eller en oförsiktig underleverantör som i sin tur inför skadliga filer eller enheter i organisationen. Organisationen ska dela information för att kunna identifiera tvivelaktig verksamhet, skräppost, nätfiske och social manipulering, och om hur anställda ska kunna undvika att dela organisationens konfidentiella information till potentiella angripare. Det är till exempel möjligt att via en intern webbplats dela information om nya hot och sårbarheter inom sektorn. Om information om hot, sårbarheter och bästa praxis inte delas inom organisationen, kan det hända att anställda låter bli att följa delar av processer och anvisningar.</t>
  </si>
  <si>
    <t>Svar</t>
  </si>
  <si>
    <t>Kommentti ja viittaukset</t>
  </si>
  <si>
    <t>Comments and references</t>
  </si>
  <si>
    <t>Noter och referenser</t>
  </si>
  <si>
    <t>Nivå</t>
  </si>
  <si>
    <t>Praktik</t>
  </si>
  <si>
    <t>Säkerhetsklassificering</t>
  </si>
  <si>
    <t>Total nivå</t>
  </si>
  <si>
    <t>Namn</t>
  </si>
  <si>
    <t>Bedömning av cybersäkerhet</t>
  </si>
  <si>
    <t>Resultat och referensdata</t>
  </si>
  <si>
    <t>0 - Inget svar</t>
  </si>
  <si>
    <t>The organisation should identify its role in providing critical services to the society and manage the related risks accordingly.</t>
  </si>
  <si>
    <t xml:space="preserve">The organisation should understand its role in providing critical services for the society, what is needed to keep the services operating, and what kind of impact a failure or degradation would have. </t>
  </si>
  <si>
    <t>Organisaation tulee tunnistaa oma roolinsa yhteiskunnan kannalta kriittisten palveluiden tuottamisessa ja hallita riskejä sen mukaisesti.</t>
  </si>
  <si>
    <t>Organisaation tulee tunnistaa oma roolinsa yhteiskunnan kannalta kriittisten palveluiden tuottamisessa, tietää mitä näiden palveluiden tuottaminen vaatii ja ymmärtää millaiset vaikutukset palveluiden vikaantumisella saattaisi olla.</t>
  </si>
  <si>
    <t>Organisaation ylimmällä johdolla on näkyvyys tärkeimpiin riskipäätöksiin läpi koko organisaation.</t>
  </si>
  <si>
    <t>(Yhteiskunnalle kriittisten) palveluiden tuottamiseen tarvittava data on tunnistettu ja dokumentoitu.</t>
  </si>
  <si>
    <t>Palveluiden tuottamiseen tarvittavat prosessit on tunnistettu ja dokumentoitu.</t>
  </si>
  <si>
    <t>Palveluiden tuottamiseen tarvittavat järjestelmät (IT- ja OT-omaisuus) on tunnistettu ja dokumentoitu.</t>
  </si>
  <si>
    <t>Palveluiden tuottamiseen tarvittavat toimitusketjut on tunnistettu ja dokumentoitu.</t>
  </si>
  <si>
    <t>Palveluiden tuottamiseen tarvittavat tilat ja laitteet on tunnistettu ja dokumentoitu.</t>
  </si>
  <si>
    <t>Palvelujen heikentymisen tai keskeytymisen aiheuttamat seurannaisvaikutukset yhteiskunnalle on tunnistettu ja dokumentoitu.</t>
  </si>
  <si>
    <t>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t>
  </si>
  <si>
    <t>Kaikki resurssit (data, prosessit, järjestelmät, tilat ja toimitusketjut), joita tarvitaan (yhteiskunnalle kriittisten) palveluiden tuottamiseen, ovat organisaation turvallisuuden hallinnan politiikkojen ja prosessien piirissä.</t>
  </si>
  <si>
    <t>Kaikki resurssit (data, prosessit, järjestelmät, tilat ja toimitusketjut), joita tarvitaan yhteiskunnallisesti kriittisten palvelujen tuottamiseen, ovat organisaation riskienhallinnan politiikkojen ja prosessien piirissä.</t>
  </si>
  <si>
    <t>Johtoryhmän nimetyllä jäsenellä on vastuu palveluiden tuottamiseen tarvittavien tietoverkkojen ja -järjestelmien turvallisuuden tasosta. Henkilö ohjaa johtoryhmän säännöllistä keskustelua aiheesta.</t>
  </si>
  <si>
    <t>Johtoryhmä asettaa suunnan ja tahtotilan, joista johdetaan tehokkaita toimintatapoja tietoverkkojen ja -järjestelmien turvallisuuden valvontaan ja ohjaukseen.</t>
  </si>
  <si>
    <t>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t>
  </si>
  <si>
    <t>Organisaatiolla tulee olla määritelty ja hyvin testattu kybertapahtumien ja -häiriöiden hallintaprosessi. Prosessin tarkoituksena on varmistaa kriittisten palveluiden toimintavarmuus järjestelmien tai palveluiden vikatilanteissa. Organisaation tulee myös huolehtia, että sillä on riittävät varautumistoimet vikatilanteiden vaikutusten rajaamiseksi tai pienentämiseksi ja että nämä toimet on mitoitettu suhteessa riskin ja mahdollisten vaikutusten suuruuteen.</t>
  </si>
  <si>
    <t>Riskienhallintaprosessissa ja -päätöksenteossa otetaan huomioon resurssit (data, prosessit, järjestelmät, laitteet ja toimitusketju), kriittinen ajanjakso ja seurannaisvaikutukset [kts. CRITICAL-1b-h].</t>
  </si>
  <si>
    <t>Kriittisten palveluiden kyberhäiriöiden vaikutusten minimointi</t>
  </si>
  <si>
    <t>Organisaatiolla on kybertapahtumien ja -häiriöiden hallintasuunnitelma, joka kattaa kaikki (organisaation tuottamat yhteiskunnalle kriittiset) palvelut.</t>
  </si>
  <si>
    <t>Kybertapahtumien ja -häiriöiden hallintaan osallistuva henkilöstö on sisäistänyt ja ymmärtää hallintasuunnitelman hyvin.</t>
  </si>
  <si>
    <t>Hallintasuunnitelma rajoittuu tunnettuihin hyökkäyksiin, mutta kattaa perusteellisesti näiden hyökkäysten todennäköiset vaikutukset.</t>
  </si>
  <si>
    <t>Hallintasuunnitelma on dokumentoitu ja se jaetaan kaikille relevanteille sidosryhmille.</t>
  </si>
  <si>
    <t>Hallintasuunnitelma perustuu (yhteiskunnalle kriittisten palveluiden tuottamiseen tarvittavien) tietoverkkojen ja -järjestelmien riskien perusteelliseen tunnistamiseen ja ymmärtämiseen.</t>
  </si>
  <si>
    <t>Hallintasuunnitelma on dokumentoitu ja integroitu osaksi organisaation laajempaa liiketoiminnan ja toimitusketjujen jatkuvuudenhallintaa.</t>
  </si>
  <si>
    <t>Kaikki yhteiskunnalle kriittisten palveluiden tuottamiseen osallistuvat organisaation liiketoimintayksiköt ovat saaneet ja sisäistäneet hallintasuunnitelman.</t>
  </si>
  <si>
    <t>Organisaation ylimmällä johdolla on vastuu riittävien resurssien turvaamisesta kriittisten palveluiden tuottamiseen ja päätöksentekovaltuuksien delegoinnista organisaatiossa siten, että päätöksenteko on tehokasta ja se tehdään oikeassa paikkaa. Kriittisten palveluiden toimittamiseen liittyvien tietoverkkojen ja -järjestelmien riskit tulee arvioida osana koko organisaation riskejä.</t>
  </si>
  <si>
    <t>Johtoryhmä käsittelee palveluiden tuottamiseen tarvittavien tietoverkkojen ja -järjestelmien turvallisuuden tasoa säännöllisesti; käyttäen pohjana ajantasaista ja tarkkaa tietoa sekä organisaation ammattilaisten asiantuntemusta.</t>
  </si>
  <si>
    <t>Riskienhallinnan päätöksentekoa voidaan tarvittaessa delegoida tai korottaa ("escalate") läpi koko organisaation sellaisille henkilöille, joilla on sopivat tiedot, taidot ja valtuudet päätösten tekemiseen.</t>
  </si>
  <si>
    <t>Riskit analysoidaan ja arvioidaan, jotta voidaan valita ja priorisoida sopivat riskienhallintatoimenpiteet [kts. RISK-2b].</t>
  </si>
  <si>
    <t>Organisaatio seuraa riskien kehittymistä, jotta se voi varmistua valittujen riskienhallintatoimenpiteiden toteuttamisesta ja asettamiensa tavoitteiden saavuttamisesta [kts. PROGRAM-1b].</t>
  </si>
  <si>
    <t>Organisaatio toteuttaa riskiarviointeja tai -kartoituksia, jotka kattavat kaikki toiminnan osa-alueen toimintavarmuuden kannalta tärkeät suojattavat kohteet.</t>
  </si>
  <si>
    <t>Organisaation riskienhallintaohjelman osana on luoda ja ylläpitää johtotason riskienhallintapolitiikka (tai vastaava ohjeistus), jonka kautta toteutuu organisaation laajempi riskienhallintastrategia.</t>
  </si>
  <si>
    <t>Organisaatio käyttää ajan tasalla olevaa kyberarkkitehtuuria [kts. ARCHITECTURE-1c] ohjaamaan kyberriskien analysointia ja arviointia.</t>
  </si>
  <si>
    <t>Riskirekisteri kattaa kaikki riskiarvioiden kautta tunnistetut kyberriskit ja sitä hyödynnetään aktiivisesti riskienhallintatoimenpiteiden tukena.</t>
  </si>
  <si>
    <t>Strategia kyberturvallisuusriskien hallintaan</t>
  </si>
  <si>
    <t>Organisaatiolla on dokumentoitu strategia tai johtotason politiikka kyberriskien hallintaan.</t>
  </si>
  <si>
    <t>Strategiaa tai johtotason politiikkaa päivitetään säännöllisesti, jotta se huomioi muutokset organisaation uhkaympäristössä.</t>
  </si>
  <si>
    <t>Identiteetin- ja pääsynhallinnan (ACCESS) osion toiminnan suorittamiseen liittyvät vastuut ja valtuudet on osoitettu nimetyille työntekijöille.</t>
  </si>
  <si>
    <t>Kyberturvallisuusarkkitehtuurin (ARCHITECTURE) osion toiminnan suorittamiseen liittyvät vastuut ja valtuudet on osoitettu nimetyille työntekijöille.</t>
  </si>
  <si>
    <t>Omaisuuden, muutoksen ja konfiguraation hallinnan (ASSET) osion toiminnan suorittamiseen liittyvät vastuut ja valtuudet on osoitettu nimetyille työntekijöille.</t>
  </si>
  <si>
    <t>Toimitusketjun ja ulkoisten riippuvuuksien hallinnan (DEPENDENCIES) osion toiminnan suorittamiseen liittyvät vastuut ja valtuudet on osoitettu nimetyille työntekijöille.</t>
  </si>
  <si>
    <t>Kyberturvallisuusohjelman (PROGRAM) osion toiminnan suorittamiseen liittyvät vastuut ja valtuudet on osoitettu nimetyille työntekijöille.</t>
  </si>
  <si>
    <t>Kybertapahtumien havainnoinnin (RESPONSE) osion toiminnan suorittamiseen liittyvät vastuut ja valtuudet on osoitettu nimetyille työntekijöille.</t>
  </si>
  <si>
    <t>Riskienhallinnan (RISK) osion toiminnan suorittamiseen liittyvät vastuut ja valtuudet on osoitettu nimetyille työntekijöille.</t>
  </si>
  <si>
    <t>Tilannekuvan (SITUATION) osion toiminnan suorittamiseen liittyvät vastuut ja valtuudet on osoitettu nimetyille työntekijöille.</t>
  </si>
  <si>
    <t>Uhkien ja haavoittuvuuksien hallinnan (THREAT) osion toiminnan suorittamiseen liittyvät vastuut ja valtuudet on osoitettu nimetyille työntekijöille.</t>
  </si>
  <si>
    <t>Henkilöstöhallinnan (WORKFORCE) osion toiminnan suorittamiseen liittyvät vastuut ja valtuudet on osoitettu nimetyille työntekijöille.</t>
  </si>
  <si>
    <t>Identiteetin- ja pääsynhallinnan (ACCESS) osion toiminta perustuu organisaation määrittämään ja ylläpitämään johtotason politiikkaan (tai vastaavaan ohjeistukseen), jossa asetetaan nimenomaisia vaatimuksia tämän osion toiminnalle.</t>
  </si>
  <si>
    <t>Kyberturvallisuusarkkitehtuurin (ARCHITECTURE) osion toiminta perustuu organisaation määrittämään ja ylläpitämään johtotason politiikkaan (tai vastaavaan ohjeistukseen), jossa asetetaan nimenomaisia vaatimuksia tämän osion toiminnalle.</t>
  </si>
  <si>
    <t>Omaisuuden, muutoksen ja konfiguraation hallinnan (ASSET) osion toiminta perustuu organisaation määrittämään ja ylläpitämään johtotason politiikkaan (tai vastaavaan ohjeistukseen), jossa asetetaan nimenomaisia vaatimuksia tämän osion toiminnalle.</t>
  </si>
  <si>
    <t>Toimitusketjun ja ulkoisten riippuvuuksien hallinnan (DEPENDENCIES) osion toiminta perustuu organisaation määrittämään ja ylläpitämään johtotason politiikkaan (tai vastaavaan ohjeistukseen), jossa asetetaan nimenomaisia vaatimuksia tämän osion toiminnalle.</t>
  </si>
  <si>
    <t>Kyberturvallisuusohjelman (PROGRAM) osion toiminta perustuu organisaation määrittämään ja ylläpitämään johtotason politiikkaan (tai vastaavaan ohjeistukseen), jossa asetetaan nimenomaisia vaatimuksia tämän osion toiminnalle.</t>
  </si>
  <si>
    <t>Kybertapahtumien havainnoinnin (RESPONSE) osion toiminta perustuu organisaation määrittämään ja ylläpitämään johtotason politiikkaan (tai vastaavaan ohjeistukseen), jossa asetetaan nimenomaisia vaatimuksia tämän osion toiminnalle.</t>
  </si>
  <si>
    <t>Riskienhallinnan (RISK) osion toiminta perustuu organisaation määrittämään ja ylläpitämään johtotason politiikkaan (tai vastaavaan ohjeistukseen), jossa asetetaan nimenomaisia vaatimuksia tämän osion toiminnalle.</t>
  </si>
  <si>
    <t>Tilannekuvan (SITUATION) osion toiminta perustuu organisaation määrittämään ja ylläpitämään johtotason politiikkaan (tai vastaavaan ohjeistukseen), jossa asetetaan nimenomaisia vaatimuksia tämän osion toiminnalle.</t>
  </si>
  <si>
    <t>Uhkien ja haavoittuvuuksien hallinnan (THREAT) osion toiminta perustuu organisaation määrittämään ja ylläpitämään johtotason politiikkaan (tai vastaavaan ohjeistukseen), jossa asetetaan nimenomaisia vaatimuksia tämän osion toiminnalle.</t>
  </si>
  <si>
    <t>Henkilöstöhallinnan (WORKFORCE) osion toiminta perustuu organisaation määrittämään ja ylläpitämään johtotason politiikkaan (tai vastaavaan ohjeistukseen), jossa asetetaan nimenomaisia vaatimuksia tämän osion toiminnalle.</t>
  </si>
  <si>
    <t>Identiteetin- ja pääsynhallinnan (ACCESS) osioon liittyvät käytännöt on standardoitu läpi koko organisaation ja niitä kehitetään aktiivisesti.</t>
  </si>
  <si>
    <t>Kyberturvallisuusarkkitehtuurin (ARCHITECTURE) osioon liittyvät käytännöt on standardoitu läpi koko organisaation ja niitä kehitetään aktiivisesti.</t>
  </si>
  <si>
    <t>Omaisuuden, muutoksen ja konfiguraation hallinnan (ASSET) osioon liittyvät käytännöt on standardoitu läpi koko organisaation ja niitä kehitetään aktiivisesti.</t>
  </si>
  <si>
    <t>Toimitusketjun ja ulkoisten riippuvuuksien hallinnan (DEPENDENCIES) osioon liittyvät käytännöt on standardoitu läpi koko organisaation ja niitä kehitetään aktiivisesti.</t>
  </si>
  <si>
    <t>Kyberturvallisuusohjelman (PROGRAM) osioon liittyvät käytännöt on standardoitu läpi koko organisaation ja niitä kehitetään aktiivisesti.</t>
  </si>
  <si>
    <t>Kybertapahtumien havainnoinnin (RESPONSE) osioon liittyvät käytännöt on standardoitu läpi koko organisaation ja niitä kehitetään aktiivisesti.</t>
  </si>
  <si>
    <t>Riskienhallinnan (RISK) osioon liittyvät käytännöt on standardoitu läpi koko organisaation ja niitä kehitetään aktiivisesti.</t>
  </si>
  <si>
    <t>Tilannekuvan (SITUATION) osioon liittyvät käytännöt on standardoitu läpi koko organisaation ja niitä kehitetään aktiivisesti.</t>
  </si>
  <si>
    <t>Uhkien ja haavoittuvuuksien hallinnan (THREAT) osioon liittyvät käytännöt on standardoitu läpi koko organisaation ja niitä kehitetään aktiivisesti.</t>
  </si>
  <si>
    <t>Henkilöstöhallinnan (WORKFORCE) osioon liittyvät käytännöt on standardoitu läpi koko organisaation ja niitä kehitetään aktiivisesti.</t>
  </si>
  <si>
    <t>Tunnistetut riskit kirjataan riskirekisteriin (joka on virallinen listaus organisaation tunnistamista riskeistä ja riskeihin liittyvistä tiedoista).</t>
  </si>
  <si>
    <t>Organisaatio hallitsee toimintaansa kohdistuvia kyberriskejä pienentämällä, hyväksymällä, välttämällä tai siirtämällä riskejä (eli toteuttamalla erityisiä riskienhallintatoimenpiteitä) - ainakin tapauskohtaisesti.</t>
  </si>
  <si>
    <t>Kyberriskien hallinta tarkoittaa toimia kyberriskien tunnistamiseksi, arvioimiseksi, seuraamiseksi ja hallitsemiseksi riskienhallintatoimenpitein. Riskienhallintatoimenpiteitä ovat esimerkiksi riskin hyväksyminen, välttäminen, pienentäminen tai siirtäminen. Kyberriskien hallintaa tulee toteuttaa osana organisaation yleistä riskienhallintaa huomioiden organisaation laajemmat tavoitteet ja liiketoiminnan tarpeet. Avainasemassa on koko organisaation kattava kyberriskienhallinnan strategia, joka huomioi edellä luetellut asiat. Riskien luokittelu auttaa organisaatiota käsittelemään ja seuraamaan riskejä johdonmukaisesti. Riskien luokittelua tukee riskirekisteri (joka on listaus organisaation tunnistamista riskeistä ja riskeihin liittyvistä tiedoista). Riskirekisteri on keskeinen osa laajempaa kyberturvallisuuden hallintaa ja siihen viitataankin useassa muussakin Kybermittarin osiossa [kts. esimerkiksi osiot SITUATION tai RESPONSE].</t>
  </si>
  <si>
    <t>Kyberriskienhallintastrategia on organisaation ylätason strategia, joka määrittää organisaation riskinottohalukkuuden ja asettaa suunnan kyberriskien arvioinnille ja hallintatoimien priorisoinnille. Kyberriskienhallintastrategia kattaa mm. menetelmät kyberriskien arviointiin, strategian riskien monitorointiin sekä organisaation kyberturvallisuuden hallintamallin ("cybersecurity governance") määrittelyn. Strategiaan kuuluu olennaisena osana määrittää organisaatiotasoiset riskien arviointikriteerit (esim. riskirajat, käytettävissä olevat riskienhallintatoimenpiteet), jotka puolestaan ohjaavat koko organisaation kyberturvallisuusohjelmaa [kts. PROGRAM]. Kyberriskienhallintastrategian tulee olla linjassa organisaation yleisen riskienhallintastrategian kanssa, jotta voidaan varmistua että kyberriskejä hallitaan osana organisaation laajempia päämääriä ja tavoitteita.</t>
  </si>
  <si>
    <t>Organisaatio on määrittänyt kyberriskien arviointikriteerit, joita se käyttää riskien arviontiin, luokitteluun ja priorisointiin. Kriteereiden määrittelyssä on huomioitu riskien mahdollinen vaikuttavuus, organisaation riskinottohalukkuus ja käytettävissä olevat riskienhallintatoimenpiteet.</t>
  </si>
  <si>
    <t>Strategia tai johtotason politiikka määrittää organisaation käytettävissä olevat riskienhallintatoimenpiteet.</t>
  </si>
  <si>
    <t>Organisaatiolla on yhtenäinen riskien luokittelumalli ("risk taxonomy"), jota se käyttää kyberriskien hallintaan. Riskien luokittelumalli on yhtenäinen, kattava ja vakioitu joukko riskiluokkia, joita koko organisaatio käyttää erityyppisten riskien luokitteluun ja tunnistamiseen.</t>
  </si>
  <si>
    <t>Toimitusketjun ja ulkoisten riippuvuuksien hallinnan osiossa arvioidaan organisaation kykyä tunnistaa ja hallita toimitusketjuihin ja kolmansiin osapuoliin liittyviä riskejä. Organisaation tulee määritellä ja ylläpitää kontrolleja, joiden avulla se hallitsee organisaation ulkopuolisista toimijoista riippuvaisten yhteiskunnalle kriittisten palveluiden kyberriskejä.</t>
  </si>
  <si>
    <t>Riippuvuuksien tunnistamiseen kuuluu, että organisaatio tunnistaa ja ymmärtää perusteellisesti (toiminnan osa-alueen toimintavarmuuden kannalta) tärkeimmät ulkoiset suhteet toimittajiin, alihankkijoihin ja muihin kolmansiin osapuoliin.</t>
  </si>
  <si>
    <t>Organisaatio tunnistaa kriittiset riippuvuudet pääasiallisista tai ainoista toimittajista ja muut välttämättömät riippuvuudet.</t>
  </si>
  <si>
    <t>Tunnistetut riippuvuudet on priorisoitu.</t>
  </si>
  <si>
    <t>Organisaatio perustaa riippuvuuksien tunnistamisen ja priorisoinnin määrittämiinsä riskien arviointikriteereihin [kts. RISK-2b].</t>
  </si>
  <si>
    <t>Toimittajien ja muiden kolmansien osapuolten kanssa laadittavissa sopimuksissa huomioidaan kyberuhkatietojen jakaminen.</t>
  </si>
  <si>
    <t>Organisaatiolla on vakiintunut tapa asettaa kyberturvallisuusvaatimuksia toimittajien ja muiden kolmansien osapuolten kanssa laadittaviin sopimuksiin (esim. sopimuspohjat). Mikäli toimittajasuhteeseen kuuluu ohjelmistoja tai ohjelmistokehitystä, kuuluu vaatimuksiin turvallisten ohjelmistokehitysmenetelmien noudattaminen.</t>
  </si>
  <si>
    <t>Toimittajien ja muiden kolmansien osapuolten kanssa laadittavissa sopimuksissa on mukana kyberturvallisuusvaatimukset.</t>
  </si>
  <si>
    <t>Toimittajien ja muiden kolmansien osapuolten kanssa laadittavissa sopimuksissa on mukana vaatimus ilmoittaa tuotteen tai palvelun toimittamiseen liittyvistä kyberhäiriöistä.</t>
  </si>
  <si>
    <t>Organisaatio asettamat kyberturvallisuusvaatimukset toimittajien ja muiden kolmansien osapuolten kanssa laadittaviin sopimuksiin perustuvat organisaation määrittämiin riskien arviointikriteereihin [kts. RISK-2b].</t>
  </si>
  <si>
    <t>Toimittajien ja muiden kolmansien osapuolten arviointi- ja valintaprosessissa sekä muissa hankintapäätöksissä huomioidaan käyttöiän ("end-of-life") ja käyttötuen ("end-of-support") loppumisen ajankohdat.</t>
  </si>
  <si>
    <t>Toimittajien ja muiden kolmansien osapuolten arviointi- ja valintaprosessissa sekä muissa hankintapäätöksissä huomioidaan asetettujen kyberturvallisuusvaatimusten täyttyminen.</t>
  </si>
  <si>
    <t>Toimittajien ja muiden kolmansien osapuolten arviointi- ja valintaprosessissa sekä muissa hankintapäätöksissä huomioidaan tarvittavat turvatoimet väärennettyjen tai turvallisuudeltaan vaarantuneiden ohjelmistojen, laitteiden tai palveluiden osalta.</t>
  </si>
  <si>
    <t>Hankittavien suojattavien kohteiden hyväksyntätestaukseen kuuluu testaus siitä, täyttävätkö kohteet organisaation kyberturvallisuusvaatimukset.</t>
  </si>
  <si>
    <t>Omaisuuden, muutoksen ja konfiguraation hallinnan osiossa arvioidaan organisaation kykyä hallita toiminnan osa-alueen toimintavarmuuden kannalta tärkeää omaisuutta ja tähän omaisuuteen liittyviä muutoksia ja konfiguraatioita. Omaisuudella tarkoitetaan organisaation IT- ja OT-omaisuutta (mkl. laitteet ja ohjelmistot) sekä tietovarantoja. Organisaation tulee hallinnoida tätä omaisuutta suhteessa sekä omaisuuteen kohdistuviin riskeihin, että organisaation asettamiin tavoitteisiin.</t>
  </si>
  <si>
    <t>Rekisteri toiminnan osa-alueen toimintavarmuuden kannalta tärkeästä IT- ja OT-omaisuudesta on tärkeä osa kyberriskienhallintaa. Tärkeiden tietojen (kuten ohjelmistojen versionumerojen, fyysisen sijainnin, kohteen omistajan ja kriittisyyden) rekisteröinti on edellytys monille muille kyberturvallisuuden hallintatoimille. Rekisteriin kirjatut tiedot voivat esimerkiksi kertoa mihin päivitystä tarvitseva ohjelmisto on asennettu tai onko organisaatiolla käytössään haavoittuvuuden kohteeksi joutunutta laitetta tai ohjelmistoa.</t>
  </si>
  <si>
    <t>Omaisuusrekisteriin kirjataan tiedot, joita organisaatio tarvitsee kyberturvallisuuteen liittyvien toimintojen hoitamiseen ja organisaation kyberturvallisuusstrategian tueksi [kts. PROGRAM-1a]. (Tällaisia tietoja ovat esimerkiksi sijaintipaikat, suojattavien kohteiden omistajuudet, turvallisuusvaatimukset, riippuvuudet, palvelutasot, elinkaaren ja tuen saatavuuden tiedot sekä vaatimustenmukaisuus relevantien toimiala-standardien kanssa).</t>
  </si>
  <si>
    <t>Omaisuusrekisteri on ajan tasalla (organisaation määrittämien kriteerin mukaisesti).</t>
  </si>
  <si>
    <t>Omaisuusrekisteriä hyödynnetään kyberriskien tunnistamisessa (esim. elinkaaren ja tuen saatavuuden päättyminen; yksittäiset pisteet, joiden toimintahäiriö voi keskeyttäisi koko palvelun ("single point of failure")).</t>
  </si>
  <si>
    <t>Rekisteri toiminnan osa-alueen toimintavarmuuden kannalta tärkeistä tietovarannoista on tärkeä osa kyberriskienhallintaa. Tärkeiden tietojen (kuten tallennus- ja käsittelypaikkojen, tiedon omistajuuden, salaus- ja eheysvaatimusten, tietovuot, vaatimustenmukaisuuden ja ohjelmistojen versionumerojen) rekisteröinti on edellytys monille muille kyberturvallisuuden hallintatoimille.</t>
  </si>
  <si>
    <t>Organisaatiolla on rekisteri (toiminnan osa-alueen toimintavarmuuden kannalta) tärkeistä tietovarannoista - vaikka rekisterin ylläpito ei välttämättä ole systemaattista tai kaikenkattavaa. (Tärkeät tietovarannot voivat sisältää esimerkiksi asiakastietoja, taloudellisia tietoja, tuotannonohjausjärjestelmän tietoja, laitteiden konfiguraatiotietoja tai lokitietoja).</t>
  </si>
  <si>
    <t>Tietovarantojen rekisteriin kirjataan tiedot, joita organisaatio tarvitsee kyberturvallisuuteen liittyvien toimintojen hoitamiseen ja organisaation kyberturvallisuusstrategian tueksi [kts. PROGRAM-1a]. (Tällaisia tietoja ovat esimerkiksi tallennus- ja käsittelypaikat, tiedon omistajuudet, salaus- ja eheysvaatimukset, tietovuot sekä vaatimustenmukaisuus).</t>
  </si>
  <si>
    <t>Organisaatiolla on rekisteri toiminnan osa-alueen toimintavarmuuden kannalta tärkeästä IT- ja OT-omaisuudesta - vaikka rekisterin ylläpito ei välttämättä ole systemaattista tai kaikenkattavaa.</t>
  </si>
  <si>
    <t>Organisaatiolla on omaisuusrekisteri kaikesta toiminnan osa-alueen toimintavarmuuden kannalta tärkeästä IT- ja OT-omaisuudesta.</t>
  </si>
  <si>
    <t>Organisaatiolla on omaisuusrekisteri kaikista toiminnan osa-alueen toimintavarmuuden kannalta tärkeistä tietovarannoista.</t>
  </si>
  <si>
    <t>Organisaatio kategorisoi rekisteröidyt tietovarannot määrittämällään tavalla.</t>
  </si>
  <si>
    <t>Konfiguraation hallinta pitää sisällään suojattavien kohteiden (kuten suojattavan tieto-, IT- ja OT-omaisuuden) vakioitujen perusasetusten määrittämisen ja tarkistukset siitä, että konfiguraatiot ovat näiden perusasetusten mukaiset. Yleisimmin tällä varmistetaan se, että kaikki samanlaiset suojattavat kohteet on konfiguroitu samalla tavalla. Niissä tapauksissa, joissa suojattavat kohteet eroavat merkittävästi toisistaan tai yksilöllisiä asetuksia joudutaan käyttämään, konfiguraatioiden hallinnan avulla on tarkoitus varmistaa, että kyseisen suojattavan kohteen konfiguraation perusasetukset on määritetty ja suojattavan kohteen asetukset säilyvät perusasetusten mukaisina.</t>
  </si>
  <si>
    <t>Vakioitujen perusasetuksien suunnittelussa huomioidaan organisaation kyberturvallisuustavoitteet [kts. PROGRAM-1b].</t>
  </si>
  <si>
    <t>Suojattavien kohteiden konfiguraation yhdenmukaisuutta vakioitujen perusasetusten kanssa monitoroidaan kohteen koko käyttöiän ajan.</t>
  </si>
  <si>
    <t>Suojattavien kohteiden (kuten suojattavan tieto-, IT- ja OT-omaisuuden) muutostenhallinta sisältää muutospyyntöjen arvioinnin niin, että hyväksymättömiä muutoksia ei pääse tuotantoympäristöön, prosessin joka varmistaa kaikkien muutosten noudattavan muutoshallintaprosessia sekä luvattomien muutosten tunnistamisen. Muutostenhallinta koskettaa suojattavien kohteiden koko elinkaarta, mukaan lukien määrittely, testaus, käyttöönotto ja huolto sekä käytöstä poistaminen.</t>
  </si>
  <si>
    <t>Rekisteröityihin suojattaviin kohteisiin tehtävät muutokset kirjataan lokiin - ainakin tapauskohtaisesti.</t>
  </si>
  <si>
    <t>Identiteettien hallinta</t>
  </si>
  <si>
    <t>Niille henkilöille ja toimijoille, jotka tarvitsevat pääsyn suojattaviin kohteisiin jaetaan pääsyvaltuustiedot (kuten salasanat, sertifikaatit, älykorit, avaimet, tunnusluvut tai vastaavat) - ainakin tapauskohtaisesti.</t>
  </si>
  <si>
    <t>Identiteettirekisterit katselmoidaan ja päivitetään ajantasaiseksi organisaation määrittelemin aikavälein.</t>
  </si>
  <si>
    <t>Pääsyvaltuustiedot ("credentials") katselmoidaan säännöllisesti ja tarkistetaan, että ne on myönnetty oikeille henkilöille tai muille toimijoille (kuten laitteille, järjestelmille tai prosesseille).</t>
  </si>
  <si>
    <t>Organisaatio on asettanut käyttöoikeuksille vaatimuksia tai rajoituksia - ainakin tapauskohtaisesti (esim. siitä minkä tyyppiset toimijat voivat saada pääsyn suojattavaan kohteeseen, missä rajoissa pääsy sallitaan, rajoitetaanko etäyhteyksiä tai onko tunnistetiedoille kuten salasanoille asetettu tiettyjä vaatimuksia).</t>
  </si>
  <si>
    <t>Pääsyvaltuustiedoille on asetettu riskiperusteiset vaatimukset (esim. vahvasta tunnistautumisesta korkean riskin kohteisiin) [kts. RISK-2b]. Vaatimuksissa on huomioitu myös kyberarkkitehtuurin asettamat vaatimukset (esim. tunnistautumisvaatimukset eri turvavyöhykkeille) [kts. ARCHITECTURE-2b].</t>
  </si>
  <si>
    <t>Uhkien ja haavoittuvuuksien hallinnan osiossa arvioidaan organisaation kykyä havaita ja hallita mahdollisia kyberuhkia ja haavoittuvuuksia. Organisaation tulee määritellä ja ylläpitää suunnitelmia, prosesseja ja teknologiaa, joiden avulla havaita, tunnistaa, analysoida, hallita ja vastata kyberuhkiin ja haavoittuvuuksiin. Toimien tulee olla suhteessa sekä suojattaviin kohteisiin kohdistuviin riskeihin, että organisaation asettamiin tavoitteisiin.</t>
  </si>
  <si>
    <t>Uhkien tunnistaminen ja hallinta alkaa relevantin uhkatiedon keräämisellä luotettavista lähteistä, tulkitsemalla kerättyä tietoa suhteessa organisaation omaan toimintaympäristöön ja reagoimalla niihin uhkiin, joilla on mahdollisuus vaikuttaa palveluiden toimintavarmuuteen. Organisaation uhkaprofiili sisältää kuvaukset mahdollisista uhkatekijöistä, mkl. uhkatekijöiden kyvykkyyksistä, tavoitteista ja kohteista. Uhkaprofiilia voidaan käyttää uhkien tarkempaan tunnistamiseen, sitä voidaan hyödyntää osana riskien analysointia ja arviointia [kts. RISK] tai kyberturvallisuuden tilannekuvan muodostamiseen [kts. SITUATION].</t>
  </si>
  <si>
    <t>Organisaatio tunnistaa uhkien hallintaa varten sekä sisäisiä että ulkoisia tiedonlähteitä (esim. Kybertuvallisuuskeskus, saman sektorin muut organisaatiot tai toimittajat) - ainakin tapauskohtaisesti.</t>
  </si>
  <si>
    <t>Organisaatio on määrittänyt toiminnan osa-alueelle uhkaprofiilin, jossa kuvataan esimerkiksi uhkatekijät ("threat actors") ja uhkatekijöiden tavoitteet, aikomukset, kyvykkyydet ja kohteet.</t>
  </si>
  <si>
    <t>Organisaatio tunnistaa ja priorisoi sellaiset tietolähteet, jotka kattavat kokonaisuudessaan kaikki uhkaprofiilin osat, ja monitoroi näitä lähteitä aktiivisesti.</t>
  </si>
  <si>
    <t>Kyberuhkatietoa tarjotaan valituille henkilöille ja/tai osastoille.</t>
  </si>
  <si>
    <t>Haavoittuvuuksien rajoittaminen alkaa keräämällä ja analysoimalla haavoittuvuustietoa. Haavoittuvuuksia voidaan kartoittaa esimerkiksi automaattisten skannaustyökalujen avulla, verkkojen tunkeutumistestauksilla, kyberharjoituksilla ja auditoinneilla. Haavoittuvuuksien analysoinnissa tulisi ottaa huomioon sekä paikallinen vaikutus (eli haavoittuvuuden mahdollinen vaikutus suojattavaan kohteeseen itseensä), että suojattavan kohteen merkitys toiminnan osa-alueen toimintavarmuuteen. Haavoittuvuuksia voidaan torjua toteuttamalla suojaavia toimenpiteitä, monitoroimalla uhkatilannetta, asentamalla turvallisuuspäivityksiä tai muilla tavoin.</t>
  </si>
  <si>
    <t>Toiminnan osa-alueen toimintavarmuuden kannalta olennaisille haavoittuvuuksille tehdään tarvittavat toimenpiteet niiden hallitsemiseksi (esim. kontrollien implementointi tai ohjelmistokorjauksien asennus) - ainakin tapauskohtaisesti.</t>
  </si>
  <si>
    <t>Tilannekuvan osiossa arvioidaan organisaation kykyä määritellä ja ylläpitää organisaation kyberturvallisuuden tilannekuvaa. Organisaation tulee määritellä ja ylläpitää prosesseja ja teknisiä ratkaisuja operatiivisen ja kyberturvallisuustiedon keräämiseen, analysointiin, hälytysten nostamiseen, esittämiseen ja käyttämiseen, hyödyntäen muissa Kybermittarin osioissa mainittua informaatiota. Tilannekuva muodostetaan sekä organisaation toiminnan, että kyberturvallisuuden tasosta.</t>
  </si>
  <si>
    <t xml:space="preserve">Lokitus tulee ottaa käyttöön suojattavien kohteiden kriittisyyden perusteella. Esimerkiksi siten, että mitä suurempi potentiaalinen vaikutus vaarantuneella suojattavalla kohteella on, sitä enemmän tietoja organisaation tulisi kerätä tästä suojattavasta kohteesta. </t>
  </si>
  <si>
    <t>Organisaation tulee käyttää lokien ja muiden lähteiden kautta kerättyä tietoa saadakseen selkeän yleiskuvan operatiivisen toiminnan ja kyberturvallisuuden tilasta.</t>
  </si>
  <si>
    <t>Tuotantoympäristöjä monitoroidaan poikkeamien ja poikkeavan käytöksen varalta (jotka voivat antaa viitteitä kyberturvallisuuden kannalta merkittävistä tapahtumista) - ainakin tapauskohtaisesti.</t>
  </si>
  <si>
    <t>Poikkeamien ja poikkeavan käytöksen havaitsemiseksi järjestelmiin on asetettu indikaattorit, joita ylläpidetään ja monitoroidaan koko tuotantoympäristön laajuisesti. Indikaattorit perustuvat järjestelmien lokeihin, tietovirtoihin, kybertapahtumiin sekä järjestelmän arkkitehtuuriin.</t>
  </si>
  <si>
    <t>Monitorointijärjestelyt huomioivat organisaation uhkaprofiilin [kts. THREAT-1d].</t>
  </si>
  <si>
    <t>Monitorointijärjestelyt huomioivat toiminnan riskit (ts. riskialttiimmat suojattavat kohteet edellyttävät tarkempaa monitorointia).</t>
  </si>
  <si>
    <t>Tilannekuvan muodostaminen</t>
  </si>
  <si>
    <t>Organisaatiolla on ennalta määritellyt toimintatavat, jotka aktivoidaan (automaattisesti tai manuaalisesti) koostetun ja analysoidun monitorointitiedon perusteella. [kts. THREAT-1k ja RESPONSE-3h].</t>
  </si>
  <si>
    <t>Tapahtumien ja häiriötilanteiden hallinnan osiossa arvioidaan organisaation kykyä hallita, reagoida ja palautua kybertapahtumista ja -häiriöistä. Organisaation tulee määritellä ja ylläpitää suunnitelmia, prosesseja ja teknologiaa kyberturvallisuuteen liittyvien tapahtumien ja häiriöiden havaitsemiseksi, analysoimiseksi, niihin vastaamiseksi ja niistä palautumiseksi suhteessa sekä suojattaviin kohteisiin kohdistuviin riskeihin, että organisaation asettamiin tavoitteisiin.</t>
  </si>
  <si>
    <t>Kybertapahtumien havainnointi sisältää keskitetyn raportointikanavan tapahtumia varten sekä arviointiperusteiden määrittelyn. Arviointiperusteiden tulee noudattaa kyberriskienhallintastrategiaa, varmistaa tapahtumien johdonmukainen arviointi sekä tarjota rakenteen kybertapahtumien tunnistamiseksi, kybertapahtuman eskaloimiseksi ja tapahtuman korottaminen kyberhäiriöksi.</t>
  </si>
  <si>
    <t>Havaitut kybertapahtumat raportoidaan - ainakin tapauskohtaisesti - nimetylle henkilölle tai roolille, joka rekisteröi tapahtumat.</t>
  </si>
  <si>
    <t>Kybertapahtumien havaitsemiselle on määritelty kriteerit (esim. tapahtuman määritelmä, mistä tapahtumia etsitään).</t>
  </si>
  <si>
    <t>Kybertapahtumien eskalointi sisältää kohdassa "Kybertapahtumien havainnointi" mainittujen  arviointiperusteiden soveltamista ja sellaisten tilanteiden tunnistamista, joissa kybertapahtumaa tulee käsitellä ennalta määritettyjen suunnitelmien mukaisesti. Eskaloidut kybertapahtumat ja -häiriöt voivat johtaa ulkoisiin velvoitteisiin kuten esimerkiksi viranomaisraportointiin tai asiakkaiden tiedottamiseen. Useampien kybertapahtumien ja häiriöiden korrelointi keskenään saattaa paljastaa systemaattisia ongelmia ympäristössä.</t>
  </si>
  <si>
    <t>Kyberhäiriöiden tunnistamiseen käytetään virallisia kriteerejä, jotka perustuvat häiriön mahdolliseen vaikutukseen toiminnan osa-alueella [kts. RISK-1c].</t>
  </si>
  <si>
    <t>Kyberhäiriöiden tunnistamisen kriteerit päivitetään organisaation määrittämin aikavälein.</t>
  </si>
  <si>
    <t>Eskaloidut kybertapahtumat ja kyberhäiriöt kirjataan rekisteriin ("logged") ja niiden tilannetta seurataan rekisterissä kunnes ne voidaan merkitä suljetuiksi ("tracked until closure").</t>
  </si>
  <si>
    <t>Kyberhäiriöihin reagoiminen edellyttää organisaatiolta prosessia, jolla voidaan rajata kyberhäiriöiden vaikutusta muihin toimintoihin. Prosessin tulee kuvata miten organisaatio hallitsee häiriön koko elinkaarta (esim. triage, käsittely, kommunikointi, koordinointi ja sulkeminen). Saatujen kokemusten arviointi osana kybertapahtumien ja -häiriöiden hoitamista auttaa organisaatiota poistamaan haavoittuvuudet, jotka johtivat poikkeamaan.</t>
  </si>
  <si>
    <t>Kybertapahtumien ja -häiriöiden käsittelyyn ja reagointiin osallistuvat työntekijät ottavat osaa yhteisiin harjoituksiin muiden organisaatioiden kanssa (esim. työpöytäharjoitukset, simulaatiot).</t>
  </si>
  <si>
    <t>Kybertapahtumiin ja -häiriöihin reagoinnissa noudatetaan organisaation ennalta määritettyjä toimintatapoja [kts. SITUATION-3h].</t>
  </si>
  <si>
    <t>Henkilöstön hallinta</t>
  </si>
  <si>
    <t>Henkilöstön hallinnan osiossa arvioidaan organisaation kykyä kehittää ja ylläpitää henkilöstön kyberturvallisuusosaamista ja -valmiutta. Organisaation tulee määritellä ja ylläpitää suunnitelmia, prosesseja, teknologiaa ja kontrolleja organisaation kyberturvallisuuskulttuurin luomiseksi ja sopivan ja osaavan henkilöstön takaamiseksi, suhteessa sekä suojattaviin kohteisiin kohdistuviin riskeihin, että organisaation asettamiin tavoitteisiin.</t>
  </si>
  <si>
    <t>Tärkeä osa kyberturvallisuuden vastuiden jakamista on varmistua siitä, että vastuut on katettu riittävästi ja riittävällä korvaavuudella ("redundancy"). Roolit, joihin kuuluu merkittäviä kyberturvallisuuden vastuita, on usein helppo tunnistaa, mutta roolien jatkuvuuden takaaminen voi olla haastavampaa. On äärimmäisen tärkeää määrittää konkreettiset suunnitelmat kyberturvallisuuden avainroolien (esim. pääkäyttäjien) kouluttamiseen, sijaisuuksien varmistamiseen, testauttamiseen ja arviointiin. On myös tärkeä huomioida, että kyberturvallisuuden vastuut eivät rajoitu vain perinteisiin IT-rooleihin.</t>
  </si>
  <si>
    <t>Kyberturvallisuuteen liittyvät vastuut on jaettu nimetyille rooleille, mkl. ulkoisille palveluntarjoajille (esim. internetpalveluntarjoajat, kyberturvallisuuspalvelujen, pilvipalvelujen tai IT-/OT-palvelujen tarjoajat).</t>
  </si>
  <si>
    <t>Nimetyille henkilöille jaetut kyberturvallisuuteen liittyvät vastuut ylläpidetään vastuiden kattavuuden ja riittävyyden varmistamiseksi. Tässä huomioidaan myös henkilövaihdosten suunnittelu ("succession planning").</t>
  </si>
  <si>
    <t>Organisaation kyberhenkilöstön (eli työntekijöiden, joilla tehtävänkuvaan kuuluu kyberturvallisuuteen liittyviä vastuita) kehittämiseen kuuluu olemassa olevien työntekijöiden kouluttaminen ja tarvittaessa uusien työntekijöiden rekrytointi tunnistettujen osaamispuutteiden täyttämiseksi. Rekrytoinprosesseissa tulee huomioida esimerkiksi se, että sekä rekrytoijat että haastateltavat ovat tietoisia organisaation kyberhenkilöstöön kohdistuvista tarpeista. Lisäksi työntekijöiden (ja ulkoisten toimittajien) tulisi osallistua säännöllisesti koulutuksiin, joilla lisätään henkilöstön kyberturvallisuustietoisuutta (esimerkiksi tietojenkalastelun tai muiden uhkien pienentämiseksi). Koulutusten ja tietoisuuskampanjoiden tehokkuutta tulisi arvioida tarpeen mukaan.</t>
  </si>
  <si>
    <t>Kybertyöntekijöiden osaamiseen ja taitoihin liittyviä vaatimuksia ja mahdollisia puutteita tunnistetaan sekä nykyisiä että tulevia käyttötarpeita varten. (Kybertyöntekijöitä ovat työntekijät, joille on nimetty kyberturvallisuuteen liittyviä vastuita).</t>
  </si>
  <si>
    <t>Koulutusohjelmien tehokkuutta arvioidaan organisaation määrittelemin aikavälein ja koulutusta kehitetään tarpeen vaatiessa.</t>
  </si>
  <si>
    <t>Henkilöstön hallintatoimet</t>
  </si>
  <si>
    <t>Henkilöstön hallintatoimiin kuuluvat esimerkiksi työntekijöiden taustatarkastukset (esim. turvallisuusselvitys) siten, että tarkempia selvityksiä teetetään työtehtäviin, joihin kuuluu pääsy toiminnan osa-alueen toimintavarmuuden kannalta tärkeisiin suojattaviin kohteisiin. Esimerkiksi pääkäyttäjille (joilla on tyypillisesti oikeudet tehdä muutoksia asetuksiin, muokata tai poistaa lokitietoja, luoda uusia tunnuksia tai muokata salasanoja) määritellään korkeampi riskitaso ja tehdään tarvittavat toimenpiteet järjestelmien suojaamiseksi näiden käyttäjien tahallisilta tai tahattomilta toimilta.</t>
  </si>
  <si>
    <t>Jokaista työtehtävää varten tehdään asianmukaiset taustatarkistukset, jotka ovat suhteessa tehtäväkohtaiseen riskiin. Tämä kattaa sekä organisaation työntekijät, toimittajat että alihankkijat.</t>
  </si>
  <si>
    <t>Kybertietoisuuden lisäämiseen tähtäävien toimenpiteiden sisältöön vaikuttaa organisaation määrittämä uhkaprofiili [kts. THREAT-1d].</t>
  </si>
  <si>
    <t>Kyberturvallisuusarkkitehtuuris ja -kehitysohjelma</t>
  </si>
  <si>
    <t>Kyberarkkitehtuurille on määritetty hallintamalli ("governance"), jota pidetään yllä (esim. arkkitehtuurin arviointitoimikunta). Hallintamalli kattaa vaatimukset säännöllisistä arkkitehtuurikatselmoinneista sekä päätöksenteon poikkeusprosessille ("exception process").</t>
  </si>
  <si>
    <t>Sisäisesti kehitettävien sovellusten kehitystyössä noudatetaan turvallisen sovelluskehityksen periaatteita. (Koskee sovelluksia, joita kehitetään toiminnan osa-alueen toimintavarmuuden kannalta tärkeisiin suojattaviin kohteisiin).</t>
  </si>
  <si>
    <t>Kyberturvallisuusohjelman osiossa arvioidaan organisaation kykyä hallita ja ylläpitää organisaationlaajuista kyberturvallisuusohjelmaa. Kyberturvallisuusohjelman tarkoitus on määritellä kyberturvallisuuden hallintamalli ("governance"), kyberturvallisuuden strateginen kehittäminen ja liiketoimintajohdon tuki kyberturvallisuudelle tavalla, joka on suhteessa sekä suojattaviin kohteisiin kohdistuviin riskeihin, että organisaation asettamiin tavoitteisiin nähden.</t>
  </si>
  <si>
    <t>Kyberturvallisuusstrategia toimii kyberturvallisuusohjelman perustana. Yksinkertaisimmassa muodossa, kyberturvallisuusstrategia pitää sisällään listan kyberturvallisuustavoitteista ja suunnitelman niiden saavuttamiseksi. Korkeammalla kypsyystasolla kyberturvallisuusstrategia on täydellisempi ja sisältää prioriteetit, hallintamallin kuvauksen ("governance"), kyberturvallisuusohjelman organisaatiorakenteen ja ylemmän johdon vahvemman osallistumisen ohjelmaan suunnitteluun. Kyberturvallisuusstrategia voi olla oma dokumenttinsa, mutta usein se on kirjattu osaksi organisaation kyberturvallisuuspolitiikkaa.</t>
  </si>
  <si>
    <t>The cybersecurity program strategy and priorities are documented and aligned with the organization’s strategic objectives and risk to critical infrastructure</t>
  </si>
  <si>
    <t>Kyberturvallisuusstrategia ja sen prioriteetit on dokumentoitu. Strategia ja prioriteetit heijastavat organisaation yleisiä strategisia tavoitteita ja kriittiseen infrastruktuuriin kohdistuvia riskejä.</t>
  </si>
  <si>
    <t>Organisaatio tekee yhteistyötä organisaation ulkopuolisten toimijoiden ja järjestöjen kanssa tukeakseen osaltaan kyberturvallisuusstandardien, ohjeistuksien, johtavien käytäntöjen, opittujen kokemusten sekä kehittyvien teknologioiden kehittämistä ja täytäntöönpanoa.</t>
  </si>
  <si>
    <t>Kyberturvallisuus osana jatkuvuussuunnittelua</t>
  </si>
  <si>
    <t>Kyberturvallisuusstrategian ja toiminnan jatkuvuuteen liittyvien suunnitelmien tulisi sopia keskenään yhteen. Näiden yhteensovittaminen on tärkeää jatkuvuussuunnitelmien ylläpitämiseksi ja toimintojen palauttamiseksi kybertapahtumien yhteydessä. Potentiaalisten kyberhäiriöiden huomioiminen jatkuvuussuunnitelmissa edellyttää tunnettujen kyberuhkien ja kyberriskiluokkien huomioimista. Jatkuvuussuunnitelmien testaamisessa tulisi ottaa huomioon kyberhäiriöt, jotta voidaan varmistua suunnitelmien toimivuudesta kyseisten häiriöiden yhteydessä.</t>
  </si>
  <si>
    <t>Jatkuvuussuunnitelmissa on tunnistettu ja dokumentoitu ne suojattavat kohteet ja toiminnat, jotka tarvitaan toiminnan osa-alueen minimitoiminnallisuuden ylläpitämiseen.</t>
  </si>
  <si>
    <t>Kyberhäiriöiden osalta on määritetty kriteerit, joiden perusteella jatkuvuussuunnitelmat otetaan käyttöön ja nämä kriteerit on kommunikoitu kyberhäiriöitä tutkiville ja käsitteleville yksiköille ("Incident Reponse") sekä jatkuvuudenhallinnasta vastaaville yksiköille.</t>
  </si>
  <si>
    <t>Jatkuvuussuunnitelmien testauksesta tai tositilanteista saatuja tuloksia ja kokemuksia verrataan palautumistavoitteisiin ja suunnitelmia parannetaan näiden perusteella.</t>
  </si>
  <si>
    <t>Organisaatiolla on peruskyvykkyys kerätä tietoja, mutta kyvykkyys havaita kyberturvallisuushäiriöitä on osittain puutteellinen tiedon laadun ja kattavuuden sekä analysointikyvyissä olevien puutteiden vuoksi. Tyypillisesti tämä tarkoittaa, että torjuntatoimenpiteet viivästyvät ja päätökset eivät perustu tapahtuman kokonaisymmärrykseen jättäen organisaation haavoittuvaksi merkittävään tietovuotoon tai vahinkoon, huolimatta toteutetuista toimenpiteistä.</t>
  </si>
  <si>
    <t>Current</t>
  </si>
  <si>
    <t>Domain_text</t>
  </si>
  <si>
    <t>KM70</t>
  </si>
  <si>
    <t>KM71</t>
  </si>
  <si>
    <t>KM72</t>
  </si>
  <si>
    <t>Previous</t>
  </si>
  <si>
    <t>Reference</t>
  </si>
  <si>
    <t>Referenssi</t>
  </si>
  <si>
    <t>Nykytila</t>
  </si>
  <si>
    <t>Edellinen</t>
  </si>
  <si>
    <t>Background</t>
  </si>
  <si>
    <t>MIL0</t>
  </si>
  <si>
    <t>MIL1</t>
  </si>
  <si>
    <t>MIl2</t>
  </si>
  <si>
    <t>MIL3</t>
  </si>
  <si>
    <t>Kyberuhat</t>
  </si>
  <si>
    <t>Henkilöstö</t>
  </si>
  <si>
    <t>Kriittiset
palvelut</t>
  </si>
  <si>
    <t>Riskien
hallinta</t>
  </si>
  <si>
    <t>Toimitus
ketjut</t>
  </si>
  <si>
    <t>Laiteet
ja tieto</t>
  </si>
  <si>
    <t>Pääsyn
hallinta</t>
  </si>
  <si>
    <t>Kyber
häiriöt</t>
  </si>
  <si>
    <t>Kehitys
ohjelma</t>
  </si>
  <si>
    <t>Kyber
arkkitehtuuri</t>
  </si>
  <si>
    <t>Report labels</t>
  </si>
  <si>
    <t>Referenssiryhmän keskiarvo</t>
  </si>
  <si>
    <t>Report colourschema</t>
  </si>
  <si>
    <t>KM73</t>
  </si>
  <si>
    <t>Activities required for progressing to Maturity Level 1</t>
  </si>
  <si>
    <t>PR</t>
  </si>
  <si>
    <t>KM62</t>
  </si>
  <si>
    <t>Current Maturity Level</t>
  </si>
  <si>
    <t>Previous Maturity Level</t>
  </si>
  <si>
    <t>Reference Group</t>
  </si>
  <si>
    <t>KM74</t>
  </si>
  <si>
    <t>KM63</t>
  </si>
  <si>
    <t xml:space="preserve"> Following Cybersecurity Domains</t>
  </si>
  <si>
    <t xml:space="preserve"> Kyberturvallisuuden osioiden mukaisesti</t>
  </si>
  <si>
    <t>KM64</t>
  </si>
  <si>
    <t>KM65</t>
  </si>
  <si>
    <t xml:space="preserve"> Following an indicative mapping from C2M2 to NIST Framework Core</t>
  </si>
  <si>
    <t xml:space="preserve"> Perustuen suuntaa-antavaan ristiinkytkentään C2M2 ja NIST-mallien välillä</t>
  </si>
  <si>
    <t>Implementation of C2M2 Practices</t>
  </si>
  <si>
    <t>NIST Cybersecurity Framework Core</t>
  </si>
  <si>
    <t>Yksityiskohtainen NIST Cybersecurity Framework Core -raportti</t>
  </si>
  <si>
    <t>Detailed NIST Cybersecurity Framework Core report</t>
  </si>
  <si>
    <t xml:space="preserve"> Following NIST Cybersecurity Framework Core</t>
  </si>
  <si>
    <t xml:space="preserve"> NIST Cybersecurity -viitekehyksen mukaisesti</t>
  </si>
  <si>
    <t>ACM-1b</t>
  </si>
  <si>
    <t>V2.0MIL</t>
  </si>
  <si>
    <t>sup1</t>
  </si>
  <si>
    <t>sup2</t>
  </si>
  <si>
    <t>Verktyg för bedömning av cybersäkerhet</t>
  </si>
  <si>
    <t>Kontaktperson</t>
  </si>
  <si>
    <t xml:space="preserve">Handledare </t>
  </si>
  <si>
    <t>Beskrivning av det delområde som bedöms</t>
  </si>
  <si>
    <t>Samhällelig inverkan av delområdet i fråga</t>
  </si>
  <si>
    <t>Avsnitten för cybersäkerheten</t>
  </si>
  <si>
    <t>Nivån på investeringar i cybersäkerhet</t>
  </si>
  <si>
    <t>Nivån på investeringar i cybersäkerhet (fliken Investment)</t>
  </si>
  <si>
    <t>Import och export av resultaten (fliken DataExport)</t>
  </si>
  <si>
    <t>Ledningens rapport om mognad (flik R1)</t>
  </si>
  <si>
    <t>Rapport om Cybermätarens mognad (flik R2)</t>
  </si>
  <si>
    <t>Detaljerad NIST Framework Core-rapport (flik R3)</t>
  </si>
  <si>
    <t>Bransch</t>
  </si>
  <si>
    <t>Funktion</t>
  </si>
  <si>
    <t>Rapport om Cybermätarens mognad (R2)</t>
  </si>
  <si>
    <t>Ledningens rapport om mognad (R1)</t>
  </si>
  <si>
    <t>I enlighet med referensramen NIST Cybersecurity</t>
  </si>
  <si>
    <t>I enlighet med avsnitten för cybersäkerheten</t>
  </si>
  <si>
    <t>Detaljerad NIST Cybersecurity Framework Core-rapport</t>
  </si>
  <si>
    <t>Baserad på en riktgivande korskoppling mellan C2M2 och NIST</t>
  </si>
  <si>
    <t>Cybersäkerhetens mognadsgrad</t>
  </si>
  <si>
    <t>Nuläget</t>
  </si>
  <si>
    <t>Föregående</t>
  </si>
  <si>
    <t>Referens</t>
  </si>
  <si>
    <t>Åtgärder som kärvs på mognadsnivå 1</t>
  </si>
  <si>
    <t>Nivå 0</t>
  </si>
  <si>
    <t>Nivå 1</t>
  </si>
  <si>
    <t>Nivå 2</t>
  </si>
  <si>
    <t>Nivå 3</t>
  </si>
  <si>
    <t>Select five of the largest investments into cybersecurity from the previous 24 months and report the numbers in thousands of euros (x 1 000 €). Report only the investments where the primary purpose is related to cybersecurity development or maintenance activities.
Please estimate the expected level of cybersecurity investments for the next 12 months and report those figures into the 'Planned' column. Where the exact amounts are not yet known, but investment decisions have been made, please mark those categories with an 'x'.</t>
  </si>
  <si>
    <t>Identiteetin ja pääsynhallinnan osiossa arvioidaan organisaation kykyä hallita ja rajoittaa pääsyä suojattaviin kohteisiin. Organisaation tulee luoda ja ylläpitää identiteettejä toimijoille, joille halutaan myöntää pääsy fyysisesti tai verkon yli organisaation suojattaviin kohteisiin. Organisaation tulee hallita käyttöoikeuksia suojattaviin kohteisiin suhteessa sekä niihin kohdistuviin riskeihin, että organisaation asettamiin tavoitteisiin.</t>
  </si>
  <si>
    <t>Identiteetinhallinta lähtee siitä, että toimijoille luodaan identiteetit, jotka poistetaan käytöstä, kun niitä ei enää tarvita. Toimijoita voivat olla henkilöt (organisaation omat työntekijät tai organisaation ulkopuoliset henkilöt) yhtä hyvin kuin laitteet, järjestelmät tai prosessit, joilla on tarve saada pääsy suojattaviin kohteisiin.  Identiteettien ylläpitoon kuuluu identiteettien jäljitettävyys (ts. identiteettien oikeellisuuden ja ajantasaisuuden varmistaminen) sekä niiden poistaminen käytöstä. Jaettujen identiteettien käyttö voi vaatia lisätoimia riittävän turvallisuustason takaamiseksi.</t>
  </si>
  <si>
    <t>Niille henkilöille ja muille toimijoille (kuten laitteille, järjestelmille tai prosesseille), jotka tarvitsevat pääsyn suojattaviin kohteisiin luodaan identiteetit - ainakin tapauskohtaisesti. (Huom. tämä vaatimus ei estä jaettujen identiteettien käyttöä).</t>
  </si>
  <si>
    <t>Käyttöoikeuksien hallinta kattaa käyttöoikeusvaatimusten määrittelyn sekä oikeuksien myöntämisen ja käytöstä poiston asetettujen vaatimusten mukaisesti. Käyttöoikeusvaatimukset yhdistetään suojattaviin kohteisiin ja vaatimukset määräävät mm. minkä tyyppiset toimijat voivat saada pääsyn suojattavaan kohteeseen, missä rajoissa pääsy sallitaan tai onko tunnistetiedoille kuten salasanoille asetettu tiettyjä vaatimuksia. Ulkopuoliselle toimittajalle voidaan sallia pääsy esimerkiksi vain ennalta määrättyjen huoltoikkunoiden aikaan ja käyttäen vahvaa tunnistautumista. Korkeammilla kypsyyden tasoilla vaaditaan tarkempaa käyttöoikeuksien valvontaa. Käyttöoikeudet myönnetään vasta kun on huomioitu toiminnan osa-alueeseen kohdistuvat riskit, minkä lisäksi käyttöoikeudet katselmoidaan säännöllisesti.</t>
  </si>
  <si>
    <t>Asetettuja vaatimuksia noudatetaan, kun päätetään käyttöoikeuksien myöntämisestä eri identiteeteille - ainakin tapauskohtaisesti.</t>
  </si>
  <si>
    <t>Käyttöoikeudet katselmoidaan ja päivitetään ajantasaisiksi organisaation määrittelemin aikavälein, jotta varmistetaan että ne noudattavat asetettuja vaatimuksia.</t>
  </si>
  <si>
    <t>Kyberturvallisuusarkkitehtuurin osiossa arvioidaan organisaation kykyä hallita ja ylläpitää kyberturvallisuustoimintaansa. Organisaation tulee luoda ja ylläpitää rakenteita, joilla se hallinnoi ja ohjaa organisaation kyberturvallisuuskontrolleja, -prosesseja ja muiden kyberturvallisuuden osa-alueiden toimintaa suhteessa sekä suojattaviin kohteisiin kohdistuviin riskeihin, että organisaation asettamiin tavoitteisiin.</t>
  </si>
  <si>
    <t>Kyberarkkitehtuuri luo edellytykset suunnitella ja kehittää organisaation kyberturvallisuutta kokonaisuutena pistemäisten ratkaisuiden, kuten yksittäisten identiteetin- tai pääsynhallintaratkaisujen, sijasta. Kyberarkkitehtuurin avulla voidaan lähestyä kriittisten järjestelmien ja tiedon suojaamista tunnettujen arkkitehtuurimenetelmien kautta (esim. tunnistaminen-suojautuminen-reagointi-palautuminen). Tällaisiin menetelmiin kuuluvat mm. verkkojen segmentointi, ylläpitoratkaisut, salausmenetelmät ja jäljityslokit ja niitä voidaan käyttää yhdessä saatavuuteen liittyvien menetelmien kuten monitoroinnin, palautusmenetelmien tai varmennuksen kanssa. Kun kyberturvallisuusarkkitehtuuri suunnitellaan toimimaan yhdessä organisaation yritysarkkitehtuuristrategian kanssa, toimii se syötteenä mm. riskianalyyseille ja suojattavien kohteiden konfiguroinnille.</t>
  </si>
  <si>
    <t>Kyberarkkitehtuuri noudattaa kyberturvallisuuden periaatteita ja mahdollistaa niiden toteuttamisen (kuten minimi-toiminnallisuus ("least functionality"), oletus kielto ("deafult deny"), pienimmät käyttöoikeudet ("least privilege")).</t>
  </si>
  <si>
    <t>Kyberarkkitehtuuristrategia ja kyberturvallisuuden kehityssuunnitelma noudattelevat organisaation laajempaa yritysarkkitehtuuristrategiaa ja -kehityssuunnitelmia.</t>
  </si>
  <si>
    <t>Organisaation järjestelmien ja verkkojen vaatimustenmukaisuutta kyberarkkitehtuuriin nähden arvioidaan organisaation määrittelemien kriteerien perusteella (esim. toteuttamisesta kulunut aika tai järjestelmissä, verkoissa tai suojattavissa kohteissa tapahtuvat muutokset).</t>
  </si>
  <si>
    <t>Kyberarkkitehtuurin määrittelyssä hyödynnetään järjestelmällisesti organisaation tunnistamia riskejä [kts. RISK-2e] ja uhkia [kts. THREAT-1d] helpottamaan tarvittavien kontrollien toteuttamista.</t>
  </si>
  <si>
    <t>Organisaation IT-järjestelmät on eriytetty (mahdollisista) OT-järjestelmistä segmentoinnin avulla, joko fyysisesti (esim. ilmarako) tai loogisesti (esim. verkkokonfiguraatiot) - vaikka ei välttämättä systemaattisesti ja kaiken kattavasti. [Mikäli organisaatiolla ei ole OT-järjestelmiä (tai niihin verrattavissa olevia järjestelmiä), asetetaan tämä käytäntö täysin toteutetuksi.]</t>
  </si>
  <si>
    <t>Organisaatio tunnistaa riippuvuudet tärkeimpiin IT- ja OT-toimittajiin - vaikka ei välttämättä systemaattisesti ja kaiken kattavasti. Toimittajariippuvuuksilla tarkoitetaan sisäisiä ja ulkoisia toimijoita, joista toiminnan osa-alueen toimintavarmuus on riippuvainen.</t>
  </si>
  <si>
    <t>Organisaatio tunnistaa riippuvuudet tärkeimpiin asiakkaisiin - vaikka ei välttämättä systemaattisesti ja kaiken kattavasti. Asiakasriippuvuuksilla tarkoitetaan sisäisiä ja ulkoisia toimijoita, jotka ovat riippuvaisia toiminnan osa-alueen toimintavarmuudesta.</t>
  </si>
  <si>
    <t>Organisaatio tunnistaa toimittajasuhteisiin ja muihin riippuvuuksiin liittyvät merkittävät kyberriskit ja puuttuu niihin - vaikka ei välttämättä systemaattisesti ja kaiken kattavasti.</t>
  </si>
  <si>
    <t>Organisaatio huomioi kyberturvallisuusvaatimukset, kun se muodostaa suhteita toimittajien ja muiden kolmansien osapuolten kanssa - vaikka ei välttämättä systemaattisesti ja kaiken kattavasti.</t>
  </si>
  <si>
    <t>Organisaatio on osoittanut resurssit (henkilöt, rahoitus ja työkalut), joilla perustaa kyberturvallisuuden kehitysohjelma - vaikka ei välttämättä systemaattisesti ja kaiken kattavasti.</t>
  </si>
  <si>
    <t>Organisaation ylin johto (jäsenet, joilla on sopivat toimivaltuudet) tukee kyberturvallisuuden kehitysohjelmaa - vaikka ei välttämättä systemaattisesti ja kaiken kattavasti.</t>
  </si>
  <si>
    <t>Jatkuvuussuunnitelmia on kehitetty kybertapahtumien ja -häiriöiden varalle toiminnan jatkuvuuden ja palautumisen turvaamiseksi - vaikka ei välttämättä systemaattisesti ja kaiken kattavasti.</t>
  </si>
  <si>
    <t>Organisaation IT- ja OT-omaisuudesta ja tietovarannoista on saatavilla varmuuskopiot ja varmuuskopioita testataan - vaikka ei välttämättä systemaattisesti ja kaiken kattavasti.</t>
  </si>
  <si>
    <t>Kyberhäiriöiden tunnistamiselle on määritetty kriteeristö ("criteria for declaring incidents") - vaikka ei välttämättä systemaattisesti ja kaiken kattavasti.</t>
  </si>
  <si>
    <t>Kybertapahtumiin ja -häiriöihin reagointiin ("incident response") on nimetty roolit ja henkilöt - vaikka ei välttämättä systemaattisesti ja kaiken kattavasti.</t>
  </si>
  <si>
    <t>Organisaatio tunnistaa ja dokumentoi toimintaansa kohdistuvia kyberriskejä - vaikka ei välttämättä systemaattisesti ja kaiken kattavasti.</t>
  </si>
  <si>
    <t>Kyberturvallisuuteen liittyvät vastuut on tunnistettu toiminnan osa-alueella - vaikka ei välttämättä systemaattisesti ja kaiken kattavasti.</t>
  </si>
  <si>
    <t>Kyberturvallisuuteen liittyvät vastuut on jaettu nimetyille henkilöille - vaikka ei välttämättä systemaattisesti ja kaiken kattavasti.</t>
  </si>
  <si>
    <t>Kyberturvallisuuskoulutusta on saatavilla sellaisille työntekijöille, joille on nimetty kyberturvallisuuteen liittyviä vastuita - vaikka ei välttämättä systemaattisesti ja kaiken kattavasti.</t>
  </si>
  <si>
    <t>Kun organisaatio palkkaa uusia työntekijöitä tehtäviin, joissa on pääsy toiminnan osa-alueen toimintavarmuuden kannalta kriittisiin suojattaviin kohteisiin, näille työntekijöille teetetään asianmukaiset taustatarkistukset (esim. turvallisuusselvitys, huumetesti) - vaikka ei välttämättä systemaattisesti ja kaiken kattavasti.</t>
  </si>
  <si>
    <t>Työsuhteen päättymiseen liittyvissä menettelyissä on huomioitu kyberturvallisuus - vaikka ei välttämättä systemaattisesti ja kaiken kattavasti.</t>
  </si>
  <si>
    <t>Organisaatio pyrkii tietoisilla toimilla lisäämään (koko) henkilöstön kybertietoisuutta - vaikka ei välttämättä systemaattisesti ja kaiken kattavasti.</t>
  </si>
  <si>
    <t>Arkaluontoisia tietoja suojataan, kun se on talletettuna ("at rest") - ainakin tapauskohtaisesti. (Arkaluontoisia tietoja voivat olla esim. henkilö-, maksukortti- ja potilastiedot, immateriaalioikeudet tai operatiiviset tiedot). (Suojaustapoina voidaan käyttää esim. salausta, maskausta, salasanasuojausta tai pääsynhallintaa).</t>
  </si>
  <si>
    <t>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t>
  </si>
  <si>
    <t>Organisaatio priorisoi rekisteröidyn omaisuuden käyttäen virallisia ja dokumentoituja priorisointikriteerejä.</t>
  </si>
  <si>
    <t>Rekisteröityjen suojattavien kohteiden konfiguraatiolle määritetään vakioidut perusasetukset, silloin kun on tarpeellista varmistaa, että samankaltaiset kohteet on konfiguroitu samalla tavalla - vaikka ei välttämättä systemaattisesti ja kaiken kattavasti.</t>
  </si>
  <si>
    <t>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t>
  </si>
  <si>
    <t>Tehdyt riskienhallintapäätökset käydään läpi aika ajoin, jotta varmistutaan siitä, että ne ovat pysyneet relevantteina ja pätevinä.</t>
  </si>
  <si>
    <t>Hallintasuunnitelma kattaa perusteellisesti sekä tunnettujen hyökkäysten, että toistaiseksi tuntemattomien hyökkäysten todennäköiset vaikutukset. Suunnitelma kattaa perusteellisesti häiriön koko elinkaaren, roolit ja vastuut sekä raportointivelvoitteet.</t>
  </si>
  <si>
    <t>Organisaatio käyttää toimittajariippuvuuksien tunnistamiseen vakiintuneita kriteereitä.</t>
  </si>
  <si>
    <t>Organisaatio käyttää asiakasriippuvuuksien tunnistamiseen vakiintuneita kriteereitä.</t>
  </si>
  <si>
    <t>Riippuvuusriskien hallinta sisältää hallintatoimenpiteitä kuten riippumatonta testausta, koodikatselmointeja, haavoittuvuusskannauksia tai turvallisen ohjelmistokehityksen vaatimuksia. Toimittajien, alihankkijoiden ja muiden kolmansien osapuolten kanssa solmitut sopimukset tuotteista ja palveluista tulee tarkastaa ja hyväksyttää kyberriskien hallinnan näkökulmasta. Sopimuksissa voidaan esimerkiksi velvoittaa toimittajia noudattamaan tiettyjä kyberturvallisuusstandardeja, -ohjeistuksia tai -vaatimuksia ja edellyttää, että toimittaja täyttää (tai ylittää) nuo vaatimukset. Palvelutasosopimuksissa ("service level agreement, SLA") voidaan asettaa valvonta- ja auditointivaatimukset varmistamaan, että toimittajat ja palvelut täyttävät niille asetetut kyberturvallisuus- ja toimintakykyvaatimukset.</t>
  </si>
  <si>
    <t>Tunnistetut riippuvuuksiin liittyvät kyberriskit kirjataan riskirekisteriin [kts. RISK-1d].</t>
  </si>
  <si>
    <t>Organisaatio monitoroi erinäisiä tietolähteitä tunnistaakseen ja välttääkseen toimitusketjuihin liittyviä riskejä (esim. väärennetyt tai turvallisuudeltaan vaarantuneet ohjelmistot, laitteet tai palvelut).</t>
  </si>
  <si>
    <t>Valitse viisi suurinta kyberturvallisuuteen liittyvää kuluerää tai investointia viimeisten 24 kk ajalta ja syötä summat tuhansissa euroissa (x 1 000 €). Syötä vain ne kuluerät tai investoinnit, joiden pääasiallinen tarkoitus on ollut kyberturvallisuuden parantaminen tai ylläpitäminen.
Sarakkeeseen "Suunniteltu" voit syöttää arvioimasi kulut/investoinnit seuraavien 12 kk aikana. Mikäli summat eivät ole vielä tiedossa, mutta tiedät mihin kategorioihin aiotaan panostaa, voit merkitä kategoriat "x"-merkillä.</t>
  </si>
  <si>
    <t>Organisaatiolla on hyvin rajoittunut kyky suojata sen kriittisiä palveluita kyberturvallisuusuhilta ja -häiriöiltä. Tyypillisesti tämä tarkoittaa, että organisaatio kohtaa suuria määriä häiriöitä ja/tai niiden vaikutukset ovat merkittävästi suurempia kuin on tarpeen, johtavat tarpeettoman suuriin mainevaikutuksiin, kustannuksiin ja sisäisiin/ulkoisiin vaikutuksiin. Tämä korostuu entisestään jos tunnistuskyvykkyys on alhainen.</t>
  </si>
  <si>
    <t>Organisaatiolla on hyvä kyvykkyys suojata sen kriittisiä palveluita kyberturvallisuusuhilta ja -häiriöiltä, mutta joitain heikompia osa-alueita on. Tyypillisesti tämä tarkoittaa harmaita alueita tai puutteita suojauksessa, vaikka kaikki kriittiset palvelut ja tiedot ovatkin suojattuna. Tämä voi johtaa tarpeettoman suuriin kustannuksiin ja häiriöiden määrään.</t>
  </si>
  <si>
    <t>Organisaatiolla on peruskyvykkyys käynnistää ja toteuttaa tarvittavat palautumistoimenpiteet kyberhyökkäyksestä toipumiseen. Tyypillisesti tämä tarkoittaa, että palautuminen ei välttämättä kata kaikkia liiketoiminta-alueita, palautumistoimenpiteitä ei toteuteta optimaalisessa järjestyksessä, tai palautumisnopeus ei täytä liiketoiminnan vaatimuksia. Tämä  voi johtaa mainehaitan, kustannusten tai häiriön vaikutusten kohoamiseen, jotka olisi muuten voitu estää.</t>
  </si>
  <si>
    <t>Organisaatiolla on hyvä kyvykkyys aloittaa oikea-aikaiset ja koordinoidut torjuntatoimenpiteet kyberhyökkäyksiin vastaamiseksi. Tyypillisesti tämä tarkoittaa, että jos hyökkäys on tunnistettu ajoissa on mahdollista, että hyökkäystä ja sen aiheuttamia vahinkoja pystytään rajoittamaan tiettyyn pisteeseen asti.</t>
  </si>
  <si>
    <t>Organisaatiolla on erinomainen kyvykkyys aloittaa oikea-aikaiset ja koordinoidut torjuntatoimenpiteet kyberhyökkäyksiin vastaamiseksi. Tyypillisesti tämä tarkoittaa, että jos hyökkäys on tunnistettu ajoissa on todennäköistä, että hyökkäys ja sen aiheuttamat vahingot pystytään rajoittamaan tai jopa estämään.</t>
  </si>
  <si>
    <t>Jatkuvuussuunnitelmat kattavat toiminnan osa-alueen toimintavarmuuden kannalta tärkeän IT- ja OT-omaisuuden ja tietovarannot. Suunnitelmat ottavat kantaa varmuuskopioiden saatavuuteen sekä korvaaviin ja varalla oleviin suojattaviin IT- ja OT-kohteisiin.</t>
  </si>
  <si>
    <t>Kybertapahtumien analysointi ja häiriöksi korottaminen</t>
  </si>
  <si>
    <t>Kybertapahtumat analysoidaan, jotta häiriöiden tunnistaminen voidaan tehdä - ainakin tapauskohtaisesti.</t>
  </si>
  <si>
    <t>Kyberhäiriöiden varalle on määritetty ja pidetään yllä reagointisuunnitelmia ("incident response plans"), jotka kattavat häiriöiden hallinnan kaikki vaiheet (kuten triage, eskalointi, käsittely, kommunikointi, koordinointi ja sulkeminen).</t>
  </si>
  <si>
    <t>Riskienhallinnan osiossa arvioidaan organisaation kykyä tunnistaa ja hallita toimintaansa kohdistuvia kyberturvallisuusriskejä (eli kyberriskejä). Organisaation tulee luoda ja ylläpitää koko organisaation kattavaa riskienhallintaohjelmaa tunnistaakseen, arvioidakseen ja hallitakseen kyberriskejä. Riskienhallintaohjelman tulee kattaa kaikki organisaation liiketoimintayksiköt, tytäryhtiöt, toiminnan kannalta kriittisen infrastruktuurin ja tärkeimmät sidosryhmät).</t>
  </si>
  <si>
    <t>Organisaatio toteuttaa riskiarviointeja tai -kartoituksia, joiden avulla se tunnistaa kyberriskejä. Arviointeja toteutetaan organisaation määrittelemien kriteereiden mukaisesti (esim. määräajoin, järjestelmämuutosten yhteydessä tai uhkaympäristön muuttuessa).</t>
  </si>
  <si>
    <t>Organisaatio monitoroi kyberturvallisuustoimintojaan (esim. määräajoin tapahtuva lokien katselmointi) - ainakin tapauskohtaisesti.</t>
  </si>
  <si>
    <t>Koko tuotantoympäristöä monitoroidaan automaattisesti poikkeamien varalta.</t>
  </si>
  <si>
    <t>Kybertietoisuuden lisääminen on yhtä tärkeää organisaation kyberturvallisuuden parantamiseksi kuin teknisten kontrollien toteuttaminen. Organisaatioon kohdistuva kyberhyökkäys alkaa usein hankkimalla jalansija organisaation IT- tai OT-järjestelmiin. Hyökkääjä voi esimerkiksi ujuttaa organisaation verkkoon haitallisia tiedostoja tai laitteita varomattoman työntekijän tai alihankkijan avulla. Organisaation tulee jakaa tietoa organisaation sisällä, jotta henkilöstö osaisi paremmin tunnistaa epäilyttävän toiminnan, roskapostin tai tietojenkalastelun tunnistamiseksi ja tunnistaisi miten välttää jakamasta organisaation luottamuksellisia tietoja mahdolliselle hyökkääjälle. Tietoa toimialan uusimmista uhkista ja haavoittuvuuksista voidaan jakaa esimerkiksi organisaation sisäisten verkkosivujen kautta. Mikäli mitään tietoa uhkista, haavoittuvuuksista tai parhaista käytännöistä ei jaeta organisaatiossa saattaa turvallisuuskäytäntöjen ja turvallisten toimintatapojen noudattaminen alkaa lipsua organisaatiossa.</t>
  </si>
  <si>
    <t>Values entered into this table are presented in the automated reports</t>
  </si>
  <si>
    <t>This table can be used to extract results for storing or sending outside of the tool.</t>
  </si>
  <si>
    <t>Tähän taulukkoon syötetyt vertailutiedot esitetään raporteissa.</t>
  </si>
  <si>
    <t>Tätä taulukkoa voidaan käyttää arviointitulosten siirtämiseen tai lähettämiseen.</t>
  </si>
  <si>
    <t>Worksheet general parameters.</t>
  </si>
  <si>
    <t>Parameter area</t>
  </si>
  <si>
    <t>INV-CRITICAL</t>
  </si>
  <si>
    <t>INV-RISK</t>
  </si>
  <si>
    <t>INV-DEPENDENCIES</t>
  </si>
  <si>
    <t>INV-ASSET</t>
  </si>
  <si>
    <t>INV-ACCESS</t>
  </si>
  <si>
    <t>INV-THREAT</t>
  </si>
  <si>
    <t>INV-SITUATION</t>
  </si>
  <si>
    <t>INV-RESPONSE</t>
  </si>
  <si>
    <t>INV-WORKFORCE</t>
  </si>
  <si>
    <t>INV-ARCHITECTURE</t>
  </si>
  <si>
    <t>INV-PROGRAM</t>
  </si>
  <si>
    <t>INVPLAN-CRITICAL</t>
  </si>
  <si>
    <t>INVPLAN-RISK</t>
  </si>
  <si>
    <t>INVPLAN-DEPENDENCIES</t>
  </si>
  <si>
    <t>INVPLAN-ASSET</t>
  </si>
  <si>
    <t>INVPLAN-ACCESS</t>
  </si>
  <si>
    <t>INVPLAN-THREAT</t>
  </si>
  <si>
    <t>INVPLAN-SITUATION</t>
  </si>
  <si>
    <t>INVPLAN-RESPONSE</t>
  </si>
  <si>
    <t>INVPLAN-WORKFORCE</t>
  </si>
  <si>
    <t>INVPLAN-ARCHITECTURE</t>
  </si>
  <si>
    <t>INVPLAN-PROGRAM</t>
  </si>
  <si>
    <t>Energy</t>
  </si>
  <si>
    <t>Logistics</t>
  </si>
  <si>
    <t>Information Technology</t>
  </si>
  <si>
    <t>Food and Agriculture</t>
  </si>
  <si>
    <t>Financial Services</t>
  </si>
  <si>
    <t>Critical Manufacturing</t>
  </si>
  <si>
    <t>Healthcare and Publich Health</t>
  </si>
  <si>
    <t>None of the below</t>
  </si>
  <si>
    <t>Energiförsörjning</t>
  </si>
  <si>
    <t>Logistik</t>
  </si>
  <si>
    <t>Kybermittarin arviointityökalu auttaa organisaatioita muodostamaan kyberturvallisuuden tilannekuvan ja ohjaamaan kyberturvallisuuden kehitystoimintaa. Työkalu koostuu tästä arviointityökalusta ja sen käyttöohjeesta. Kybermittarissa hyödynnetään suoraan Yhdysvaltain Energiaviraston C2M2-mallin kymmentä kyberturvallisuuden osiota englanninkielisine teksteineen. Arviointityökalun versio on 1.0.
Kybermittarin arviointityökalu, käyttöohje ja käyttöehdot ovat saatavilla osoitteesta www.Kybermittari.fi. Tutustuthan Kybermittarin käyttöohjeeseen ja käyttöehtoihin ennen mittarin käyttöönottoa.</t>
  </si>
  <si>
    <t>This Kybermittari Self-assessment Tool allows the organisation to measure and understand its current cybersecurity maturity level and direct its cybersecurity development activities accordingly. The Self-assessment Tool comprises of this spreadsheet and an associated Kybermittari User Guide. Kybermittari directly references the US Department of Energy C2M2 model and its english language texts. The version of this self-assessment tool is V1.0.
The Self-assessment Tool, the associated User Guide and Terms &amp; Conditions are available at www.Kybermittari.fi. Please familiriase yourself and your organisation with the User Guide and the Terms &amp; Conditions before adopting the Self-assessment Tool into use.</t>
  </si>
  <si>
    <t xml:space="preserve">Bedömningsverktyget för Cybermätaren hjälper organisationer att göra upp en lägesbild av cybersäkerheten och styra utvecklingen av cybersäkerheten. Verktyget består av detta bedömningsverktyg och anvisningar till verktyget. Cybermätaren hänvisar direkt till US Department of Energy C2M2-modellen och dess engleskspråkiga texter. Bedömningsverktygets version är 1.0.
Bedömningsverktyget för Cybermätaren, anvisningar för användning och användningsvillkoren finns tillgängliga på www.kybermittari.fi. Kom ihåg att bekanta dig med anvisningarna och villkoren innan du börjar använda mätaren
</t>
  </si>
  <si>
    <t>#Total</t>
  </si>
  <si>
    <t>#Implemented</t>
  </si>
  <si>
    <t>Report domains</t>
  </si>
  <si>
    <t>DEPEND.</t>
  </si>
  <si>
    <t>ARCHITEC.</t>
  </si>
  <si>
    <t>aggr</t>
  </si>
  <si>
    <t>R1.01-2020-10-30</t>
  </si>
  <si>
    <t>Välj fem av de största investeringarna i cybersäkerhet. Granskningsperioden för investeringarna är de senaste 24 månaderna och beloppen anges i tusen euro (x 1 000 euro). Av investeringar och kostnader inkluderas endast de vars huvudsakliga syfte har varit utveckling och underhåll av cybersäkerhet.
I tabellens kolumn ”Planerad” samla uppgifter om planerade utgifter under de kommande 12 månaderna. Om beloppen ännu inte är kända räcker det att kryssa för den kategori som utgifterna gäller.</t>
  </si>
  <si>
    <t>Kategori</t>
  </si>
  <si>
    <t>Personal (intern)</t>
  </si>
  <si>
    <t>Konsultverksamhet</t>
  </si>
  <si>
    <t>Tjänster</t>
  </si>
  <si>
    <t>Programvarulicenser</t>
  </si>
  <si>
    <t>Invest. i hårdvara</t>
  </si>
  <si>
    <t>Planerad</t>
  </si>
  <si>
    <t>Jämförelseuppgifter</t>
  </si>
  <si>
    <t>Import av jämförelseuppgifter och export av bedömningsresultat</t>
  </si>
  <si>
    <t>Tidigare resultat</t>
  </si>
  <si>
    <t>Exporterar resultat</t>
  </si>
  <si>
    <t>De jämförelseuppgifter som skrivits in i denna tabell visas i rapporterna.</t>
  </si>
  <si>
    <t>Denna tabell kan användas för att överföra eller sända bedömningsresultaten.</t>
  </si>
  <si>
    <t>1) First Show the Developer-tab:
- On the File tab, go to Options -&gt; Customize Ribbon.
- Under Customize the Ribbon and under Main Tabs, select the Developer check box.
2) Once the Developer-tab is visible, Export the results:
- Click Developer -&gt; Export.
- Save the .xml file using the name of your choice.</t>
  </si>
  <si>
    <t>1) Aseta Kehitystyökalut-valikko näkyville:
- Valitse Tiedosto -välilehdessä Asetukset -&gt; Mukauta valinta nauhaa;
- Valitse Mukauta valintanauhaa -alueen Päävälilehdet-kohdasta Kehitystyökalut-valintaruutu;
2) Vie tulokset työkalusta .xml-muodossa
- Valitse ylävalikosta Kehitystyökalut -&gt; Vie.
- Tallenna .xml-tiedosto haluamallasi tiedostonimellä.</t>
  </si>
  <si>
    <t>1) Visa fliken Utvecklare
- Gå till alternativ&gt; Anpassa menyfliksområdetpå fliken Arkiv.
- Under Anpassa menyflik och under Huvudflikar väljer du kryssrutan Utvecklare.
2) Exportera XML-data
- Klicka på Utvecklare &gt; Exportera.
- Spara .xml-filen med namnet du väjer.</t>
  </si>
  <si>
    <t>Quick guide for exporting results (Microsoft Office Excel 2016)</t>
  </si>
  <si>
    <t>Pikaohjeet tulosten vientiin (Microsoft Office Excel 2016)</t>
  </si>
  <si>
    <t>Snabbguide för export av resultat (Microsof Office Excel 2016)</t>
  </si>
  <si>
    <t xml:space="preserve">1 - Ej implementerad </t>
  </si>
  <si>
    <t>2 - Partiellt implementerad</t>
  </si>
  <si>
    <t>3 - Mestadels implementerad</t>
  </si>
  <si>
    <t>4 - Helt implementerad</t>
  </si>
  <si>
    <t>Livsmedelsförsörjning</t>
  </si>
  <si>
    <t>Ej fbk bransch</t>
  </si>
  <si>
    <t>Finansbranschen</t>
  </si>
  <si>
    <t>Kritisk industriproduktion</t>
  </si>
  <si>
    <t>Hälso- och sjukvård</t>
  </si>
  <si>
    <t>Informationssamhället</t>
  </si>
  <si>
    <t>Livsmedel - Primärproduktion</t>
  </si>
  <si>
    <t>Livsmedel - Livsmedelsindustri</t>
  </si>
  <si>
    <t>Livsmedel - Handel och distribution</t>
  </si>
  <si>
    <t>Livsmedel - Övrig</t>
  </si>
  <si>
    <t>Energi - Kraftekonomi</t>
  </si>
  <si>
    <t>Energi - Olja</t>
  </si>
  <si>
    <t>Energi - Övrig</t>
  </si>
  <si>
    <t>Finans - Finansiell service</t>
  </si>
  <si>
    <t>Finans - Försäkringsbranschen</t>
  </si>
  <si>
    <t>Finans - Övrig</t>
  </si>
  <si>
    <t>Industri - Kemi</t>
  </si>
  <si>
    <t>Industri - Skog</t>
  </si>
  <si>
    <t>Industri - MIL</t>
  </si>
  <si>
    <t>Industri - Plast och gummi</t>
  </si>
  <si>
    <t>Industri - Bygg</t>
  </si>
  <si>
    <t>Industri - Teknik</t>
  </si>
  <si>
    <t>Industri - Övrig</t>
  </si>
  <si>
    <t>Logistik - Lufttransporter</t>
  </si>
  <si>
    <t>Logistik - Landtransporter</t>
  </si>
  <si>
    <t>Logistik - Sjötransporter</t>
  </si>
  <si>
    <t>Logistik - Övrig</t>
  </si>
  <si>
    <t>Hälso - Hälso- och sjukvård</t>
  </si>
  <si>
    <t>Hälso - Vattenförsörjning</t>
  </si>
  <si>
    <t>Hälso - Övrig</t>
  </si>
  <si>
    <t>Information - Digital</t>
  </si>
  <si>
    <t>Information - Media</t>
  </si>
  <si>
    <t>Information - Övrig</t>
  </si>
  <si>
    <t>Energy - Power</t>
  </si>
  <si>
    <t>Energy - Oil</t>
  </si>
  <si>
    <t>Energy - Other</t>
  </si>
  <si>
    <t>Finance - Financial Services</t>
  </si>
  <si>
    <t>Finance - Insurance</t>
  </si>
  <si>
    <t>Finance - Other</t>
  </si>
  <si>
    <t>Critical Manufacturing - Chemistry</t>
  </si>
  <si>
    <t>Critical Manufacturing - Forestry</t>
  </si>
  <si>
    <t>Critical Manufacturing - Military</t>
  </si>
  <si>
    <t>Critical Manufacturing - Plastic and rubber</t>
  </si>
  <si>
    <t>Critical Manufacturing - Construction</t>
  </si>
  <si>
    <t>Critical Manufacturing - Technology</t>
  </si>
  <si>
    <t>Critical Manufacturing - Other</t>
  </si>
  <si>
    <t>Logistics - Air transport</t>
  </si>
  <si>
    <t>Logistics - Ground transport</t>
  </si>
  <si>
    <t>Logistics - Sea transport</t>
  </si>
  <si>
    <t>Logistics - Other</t>
  </si>
  <si>
    <t>Public health - Healthcare</t>
  </si>
  <si>
    <t>Public health - Water and waste</t>
  </si>
  <si>
    <t>Public health - Other</t>
  </si>
  <si>
    <t>Information - Digital services</t>
  </si>
  <si>
    <t>Information - Other</t>
  </si>
  <si>
    <t>Food and Agriculture - Agriculture</t>
  </si>
  <si>
    <t>Food and Agriculture - Foodstuff</t>
  </si>
  <si>
    <t>Food and Agriculture - Trade and distribution</t>
  </si>
  <si>
    <t>Food and Agriculture - Other</t>
  </si>
  <si>
    <t>NB! Blue colour text is used intentionally for the formatting of reports.</t>
  </si>
  <si>
    <t>Hantering av leveranskedjor och externa beroenden</t>
  </si>
  <si>
    <t>Program för hantering av cybersäkerhet</t>
  </si>
  <si>
    <t>Ta fram och underhåll ett sådant program för organisationsövergripande hantering av cybersäkerhet som möjliggör en hanteringsmodell och en strategisk planering och som ger stöd för cybersäkerhetsarbetet i organisationen på ett sätt som fastställer cybersäkerhetsmål i överensstämmelse med organisationens strategiska mål och risker mot den kritiska infrastrukturen.</t>
  </si>
  <si>
    <t>Ledningens stöd till programmet för hantering av cybersäkerhet</t>
  </si>
  <si>
    <t>Cybersäkerhetsstrategin fastställer en struktur och en organisation för programmet för hantering av cybersäkerhet.</t>
  </si>
  <si>
    <t>Ledningens stöd är viktigt för att programmet för hantering av cybersäkerhet ska kunna implementeras enligt cybersäkerhetsstrategin. På basnivå utgörs stödet av att tillhandahålla tillräckliga resurser (personal, verktyg, finansiering). Ett mer utvecklat stöd omfattar högsta ledningens synliga deltagande, fastställande av ansvarsområden och befogenheter för programmet. Dessutom omfattar stödet ett organisationsövergripande stöd för fastställandet och uppdateringen av policyer eller andra bindande anvisningar för organisationen.</t>
  </si>
  <si>
    <t>Organisationen har åtminstone i enskilda fall tillgång till nödvändiga resurser (personal, verktyg, finansiering) för att bygga ett program för hantering av cybersäkerhet</t>
  </si>
  <si>
    <t>Högsta ledningen stöder programmet för hantering av cybersäkerhet med behörig auktoritet åtminstone i enskilda fall</t>
  </si>
  <si>
    <t>Programmet för hantering av cybersäkerhet har skapats enligt cybersäkerhetsstrategin.</t>
  </si>
  <si>
    <t>Högsta ledningens stöd till programmet för hantering av cybersäkerhet är synligt och aktivt (t.ex. högsta ledningen understryker regelbundet hur viktig cybersäkerheten är för organisationen).</t>
  </si>
  <si>
    <t>Ansvaret för programmet för hantering av cybersäkerhet har fastställts för en roll som har nödvändiga behörigheter.</t>
  </si>
  <si>
    <t>Berörda parter i programmet för hantering av cybersäkerhet identifieras och involveras i hanteringen.</t>
  </si>
  <si>
    <t>Prestandan i programmet för hantering av cybersäkerhet mäts i syfte att kontrollera att den stämmer överens med strategin.</t>
  </si>
  <si>
    <t>Programmet för hantering av cybersäkerhet beaktar överensstämmelsen med kraven och gör det möjligt att uppfylla kraven.</t>
  </si>
  <si>
    <t>Programmet för hantering av cybersäkerhet har tillräckliga resurser (personal, verktyg, finansiering) för att programmet ska fungera enligt strategin.</t>
  </si>
  <si>
    <t>Oberoende aktörer (t.ex. externa utvärderare av programmet för hantering av cybersäkerhet, som är underställda organisationens styrningsorgan) utvärderar cybersäkerhetsåtgärdernas överensstämmelse med cybersäkerhetspolicyerna och -processerna.</t>
  </si>
  <si>
    <t>Tillräckliga resurser (personal, finansiering, verktyg) finns att tillgå för att stöda funktioner i anslutning till ämnesområdet PROGRAM</t>
  </si>
  <si>
    <t>1. Små systemiska verkningar</t>
  </si>
  <si>
    <t>2. Stora systemiska verkningar</t>
  </si>
  <si>
    <t>3. Förlamande systemiska verkningar</t>
  </si>
  <si>
    <t>Column1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</si>
</sst>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5" x14ac:knownFonts="1">
    <font>
      <sz val="11"/>
      <color theme="1"/>
      <name val="Verdana"/>
      <family val="2"/>
      <scheme val="minor"/>
    </font>
    <font>
      <sz val="11"/>
      <color theme="1"/>
      <name val="Verdana"/>
      <family val="2"/>
      <scheme val="minor"/>
    </font>
    <font>
      <sz val="11"/>
      <color theme="0"/>
      <name val="Verdana"/>
      <family val="2"/>
      <scheme val="minor"/>
    </font>
    <font>
      <sz val="11"/>
      <color theme="1"/>
      <name val="Verdana"/>
      <family val="2"/>
    </font>
    <font>
      <b/>
      <sz val="8"/>
      <name val="Verdana"/>
      <family val="2"/>
    </font>
    <font>
      <sz val="9"/>
      <name val="Verdana"/>
      <family val="2"/>
    </font>
    <font>
      <b/>
      <sz val="10"/>
      <name val="Verdana"/>
      <family val="2"/>
    </font>
    <font>
      <b/>
      <sz val="8"/>
      <color rgb="FF1D477C"/>
      <name val="Verdana"/>
      <family val="2"/>
    </font>
    <font>
      <b/>
      <sz val="8"/>
      <color theme="1"/>
      <name val="Verdana"/>
      <family val="2"/>
    </font>
    <font>
      <b/>
      <sz val="11"/>
      <color rgb="FF1D477C"/>
      <name val="Verdana"/>
      <family val="2"/>
    </font>
    <font>
      <sz val="8"/>
      <color theme="1"/>
      <name val="Verdana"/>
      <family val="2"/>
    </font>
    <font>
      <b/>
      <sz val="8"/>
      <color rgb="FF00B0F0"/>
      <name val="Verdana"/>
      <family val="2"/>
    </font>
    <font>
      <b/>
      <sz val="12"/>
      <color theme="1"/>
      <name val="Verdana"/>
      <family val="2"/>
      <scheme val="minor"/>
    </font>
    <font>
      <sz val="9"/>
      <color theme="1"/>
      <name val="Verdana"/>
      <family val="2"/>
      <scheme val="minor"/>
    </font>
    <font>
      <b/>
      <sz val="9"/>
      <color theme="1"/>
      <name val="Verdana"/>
      <family val="2"/>
      <scheme val="minor"/>
    </font>
    <font>
      <sz val="9"/>
      <color theme="1"/>
      <name val="Verdana"/>
      <family val="2"/>
    </font>
    <font>
      <b/>
      <sz val="9"/>
      <color theme="0"/>
      <name val="Verdana"/>
      <family val="2"/>
    </font>
    <font>
      <b/>
      <sz val="11"/>
      <name val="Verdana"/>
      <family val="2"/>
    </font>
    <font>
      <b/>
      <sz val="9"/>
      <color rgb="FF1D477C"/>
      <name val="Verdana"/>
      <family val="2"/>
    </font>
    <font>
      <b/>
      <sz val="9"/>
      <name val="Verdana"/>
      <family val="2"/>
    </font>
    <font>
      <b/>
      <sz val="9"/>
      <color theme="1"/>
      <name val="Verdana"/>
      <family val="2"/>
    </font>
    <font>
      <sz val="9"/>
      <color theme="4"/>
      <name val="Verdana"/>
      <family val="2"/>
    </font>
    <font>
      <sz val="9"/>
      <color rgb="FF1D477C"/>
      <name val="Verdana"/>
      <family val="2"/>
    </font>
    <font>
      <sz val="9"/>
      <color rgb="FF00B0F0"/>
      <name val="Verdana"/>
      <family val="2"/>
    </font>
    <font>
      <sz val="11"/>
      <name val="Verdana"/>
      <family val="2"/>
    </font>
    <font>
      <sz val="11"/>
      <color rgb="FF00B0F0"/>
      <name val="Verdana"/>
      <family val="2"/>
    </font>
    <font>
      <sz val="8"/>
      <name val="Verdana"/>
      <family val="2"/>
    </font>
    <font>
      <b/>
      <sz val="12"/>
      <color rgb="FF026273"/>
      <name val="Verdana"/>
      <family val="2"/>
    </font>
    <font>
      <b/>
      <sz val="16"/>
      <name val="Verdana"/>
      <family val="2"/>
    </font>
    <font>
      <sz val="16"/>
      <name val="Verdana"/>
      <family val="2"/>
    </font>
    <font>
      <sz val="9"/>
      <name val="Verdana"/>
      <family val="2"/>
      <scheme val="major"/>
    </font>
    <font>
      <b/>
      <sz val="9"/>
      <color rgb="FF1D477C"/>
      <name val="Verdana"/>
      <family val="2"/>
      <scheme val="major"/>
    </font>
    <font>
      <sz val="9"/>
      <color theme="1"/>
      <name val="Verdana"/>
      <family val="2"/>
      <scheme val="major"/>
    </font>
    <font>
      <b/>
      <sz val="8"/>
      <color rgb="FF1D477C"/>
      <name val="Verdana"/>
      <family val="2"/>
      <scheme val="major"/>
    </font>
    <font>
      <sz val="8"/>
      <color theme="1"/>
      <name val="Verdana"/>
      <family val="2"/>
      <scheme val="major"/>
    </font>
    <font>
      <b/>
      <sz val="8"/>
      <color rgb="FF026273"/>
      <name val="Verdana"/>
      <family val="2"/>
      <scheme val="major"/>
    </font>
    <font>
      <b/>
      <sz val="8"/>
      <name val="Verdana"/>
      <family val="2"/>
      <scheme val="major"/>
    </font>
    <font>
      <sz val="8"/>
      <name val="Verdana"/>
      <family val="2"/>
      <scheme val="major"/>
    </font>
    <font>
      <b/>
      <sz val="8"/>
      <color theme="1"/>
      <name val="Verdana"/>
      <family val="2"/>
      <scheme val="major"/>
    </font>
    <font>
      <sz val="11"/>
      <name val="Verdana"/>
      <family val="2"/>
      <scheme val="major"/>
    </font>
    <font>
      <b/>
      <sz val="11"/>
      <color rgb="FF026273"/>
      <name val="Verdana"/>
      <family val="2"/>
      <scheme val="major"/>
    </font>
    <font>
      <b/>
      <sz val="9"/>
      <color theme="0"/>
      <name val="Verdana"/>
      <family val="2"/>
      <scheme val="major"/>
    </font>
    <font>
      <sz val="11"/>
      <color theme="1"/>
      <name val="Verdana"/>
      <family val="2"/>
      <scheme val="major"/>
    </font>
    <font>
      <sz val="9"/>
      <color rgb="FF00B0F0"/>
      <name val="Verdana"/>
      <family val="2"/>
      <scheme val="major"/>
    </font>
    <font>
      <b/>
      <sz val="9"/>
      <color theme="1"/>
      <name val="Verdana"/>
      <family val="2"/>
      <scheme val="major"/>
    </font>
    <font>
      <sz val="9"/>
      <color rgb="FF1D477C"/>
      <name val="Verdana"/>
      <family val="2"/>
      <scheme val="major"/>
    </font>
    <font>
      <sz val="9"/>
      <color theme="4"/>
      <name val="Verdana"/>
      <family val="2"/>
      <scheme val="major"/>
    </font>
    <font>
      <b/>
      <sz val="9"/>
      <name val="Verdana"/>
      <family val="2"/>
      <scheme val="minor"/>
    </font>
    <font>
      <b/>
      <sz val="11"/>
      <color theme="0"/>
      <name val="Verdana"/>
      <family val="2"/>
    </font>
    <font>
      <b/>
      <sz val="10"/>
      <color theme="1"/>
      <name val="Verdana"/>
      <family val="2"/>
    </font>
    <font>
      <b/>
      <sz val="11"/>
      <color rgb="FF026273"/>
      <name val="Verdana"/>
      <family val="2"/>
    </font>
    <font>
      <b/>
      <sz val="11"/>
      <color theme="1"/>
      <name val="Verdana"/>
      <family val="2"/>
      <scheme val="minor"/>
    </font>
    <font>
      <sz val="12"/>
      <color theme="1"/>
      <name val="Verdana"/>
      <family val="2"/>
      <scheme val="minor"/>
    </font>
    <font>
      <sz val="11"/>
      <name val="Verdana"/>
      <family val="2"/>
      <scheme val="minor"/>
    </font>
    <font>
      <b/>
      <sz val="16"/>
      <color rgb="FF0058B1"/>
      <name val="Verdana"/>
      <family val="2"/>
    </font>
    <font>
      <b/>
      <sz val="8"/>
      <color rgb="FF0058B1"/>
      <name val="Verdana"/>
      <family val="2"/>
    </font>
    <font>
      <b/>
      <sz val="12"/>
      <color rgb="FF0058B1"/>
      <name val="Verdana"/>
      <family val="2"/>
    </font>
    <font>
      <b/>
      <sz val="11"/>
      <color rgb="FF0058B1"/>
      <name val="Verdana"/>
      <family val="2"/>
    </font>
    <font>
      <sz val="9"/>
      <color rgb="FF0058B1"/>
      <name val="Verdana"/>
      <family val="2"/>
    </font>
    <font>
      <b/>
      <sz val="10"/>
      <color rgb="FF0058B1"/>
      <name val="Verdana"/>
      <family val="2"/>
    </font>
    <font>
      <b/>
      <sz val="9"/>
      <color rgb="FF0058B1"/>
      <name val="Verdana"/>
      <family val="2"/>
    </font>
    <font>
      <sz val="10"/>
      <name val="Verdana"/>
      <family val="2"/>
    </font>
    <font>
      <b/>
      <sz val="10"/>
      <color theme="0"/>
      <name val="Verdana"/>
      <family val="2"/>
      <scheme val="minor"/>
    </font>
    <font>
      <sz val="10"/>
      <color theme="1"/>
      <name val="Verdana"/>
      <family val="2"/>
      <scheme val="minor"/>
    </font>
    <font>
      <b/>
      <sz val="10"/>
      <color theme="1"/>
      <name val="Verdana"/>
      <family val="2"/>
      <scheme val="minor"/>
    </font>
    <font>
      <b/>
      <sz val="9"/>
      <color rgb="FFFF0000"/>
      <name val="Verdana"/>
      <family val="2"/>
    </font>
    <font>
      <sz val="10"/>
      <color theme="0"/>
      <name val="Verdana"/>
      <family val="2"/>
      <scheme val="minor"/>
    </font>
    <font>
      <u/>
      <sz val="11"/>
      <color theme="10"/>
      <name val="Verdana"/>
      <family val="2"/>
      <scheme val="minor"/>
    </font>
    <font>
      <b/>
      <sz val="14"/>
      <color rgb="FF0058B1"/>
      <name val="Verdana"/>
      <family val="2"/>
      <scheme val="major"/>
    </font>
    <font>
      <sz val="9"/>
      <color rgb="FFFF0000"/>
      <name val="Verdana"/>
      <family val="2"/>
    </font>
    <font>
      <sz val="10"/>
      <color theme="1"/>
      <name val="Verdana"/>
      <family val="2"/>
    </font>
    <font>
      <b/>
      <sz val="18"/>
      <color rgb="FF0058B1"/>
      <name val="Verdana"/>
      <family val="2"/>
      <scheme val="major"/>
    </font>
    <font>
      <sz val="12"/>
      <color rgb="FF0058B1"/>
      <name val="Verdana"/>
      <family val="2"/>
      <scheme val="major"/>
    </font>
    <font>
      <b/>
      <sz val="12"/>
      <color rgb="FF0058B1"/>
      <name val="Verdana"/>
      <family val="2"/>
      <scheme val="major"/>
    </font>
    <font>
      <sz val="9"/>
      <color rgb="FF0058B1"/>
      <name val="Verdana"/>
      <family val="2"/>
      <scheme val="major"/>
    </font>
    <font>
      <sz val="11"/>
      <color rgb="FF0058B1"/>
      <name val="Verdana"/>
      <family val="2"/>
      <scheme val="major"/>
    </font>
    <font>
      <sz val="10"/>
      <color rgb="FF0058B1"/>
      <name val="Verdana"/>
      <family val="2"/>
      <scheme val="major"/>
    </font>
    <font>
      <sz val="10"/>
      <color rgb="FF0058B1"/>
      <name val="Verdana"/>
      <family val="2"/>
    </font>
    <font>
      <sz val="18"/>
      <color theme="1"/>
      <name val="Verdana"/>
      <family val="2"/>
      <scheme val="minor"/>
    </font>
    <font>
      <sz val="9"/>
      <color theme="0"/>
      <name val="Verdana"/>
      <family val="2"/>
      <scheme val="major"/>
    </font>
    <font>
      <sz val="9"/>
      <name val="Verdana"/>
      <family val="2"/>
      <scheme val="minor"/>
    </font>
    <font>
      <sz val="8"/>
      <color theme="0"/>
      <name val="Verdana"/>
      <family val="2"/>
      <scheme val="major"/>
    </font>
    <font>
      <b/>
      <sz val="10"/>
      <name val="Verdana"/>
      <family val="2"/>
      <scheme val="minor"/>
    </font>
    <font>
      <b/>
      <sz val="11"/>
      <color theme="1"/>
      <name val="Verdana"/>
      <family val="2"/>
    </font>
    <font>
      <b/>
      <sz val="10"/>
      <color rgb="FF1D477C"/>
      <name val="Verdana"/>
      <family val="2"/>
    </font>
    <font>
      <sz val="11"/>
      <name val="Calibri"/>
      <family val="2"/>
    </font>
    <font>
      <sz val="11"/>
      <color rgb="FF1D477C"/>
      <name val="Verdana"/>
      <family val="2"/>
    </font>
    <font>
      <sz val="10"/>
      <color theme="4"/>
      <name val="Verdana"/>
      <family val="2"/>
    </font>
    <font>
      <sz val="10"/>
      <color rgb="FF00B0F0"/>
      <name val="Verdana"/>
      <family val="2"/>
    </font>
    <font>
      <b/>
      <sz val="10"/>
      <color rgb="FF00B0F0"/>
      <name val="Verdana"/>
      <family val="2"/>
    </font>
    <font>
      <b/>
      <sz val="9"/>
      <color rgb="FF00B0F0"/>
      <name val="Verdana"/>
      <family val="2"/>
    </font>
    <font>
      <b/>
      <sz val="11"/>
      <color theme="0"/>
      <name val="Verdana"/>
      <family val="2"/>
      <scheme val="major"/>
    </font>
    <font>
      <sz val="10"/>
      <color rgb="FF1D477C"/>
      <name val="Verdana"/>
      <family val="2"/>
    </font>
    <font>
      <sz val="11"/>
      <color rgb="FF0058B1"/>
      <name val="Verdana"/>
      <family val="2"/>
    </font>
    <font>
      <sz val="11"/>
      <color theme="0"/>
      <name val="Verdana"/>
      <family val="2"/>
    </font>
    <font>
      <b/>
      <sz val="11"/>
      <name val="Verdana"/>
      <family val="2"/>
      <scheme val="minor"/>
    </font>
    <font>
      <sz val="11"/>
      <color theme="4"/>
      <name val="Verdana"/>
      <family val="2"/>
    </font>
    <font>
      <b/>
      <sz val="11"/>
      <color rgb="FF00B0F0"/>
      <name val="Verdana"/>
      <family val="2"/>
    </font>
    <font>
      <b/>
      <sz val="16"/>
      <color rgb="FF1D477C"/>
      <name val="Verdana"/>
      <family val="2"/>
    </font>
    <font>
      <sz val="16"/>
      <color theme="1"/>
      <name val="Verdana"/>
      <family val="2"/>
    </font>
    <font>
      <sz val="14"/>
      <color theme="1"/>
      <name val="Verdana"/>
      <family val="2"/>
      <scheme val="major"/>
    </font>
    <font>
      <b/>
      <sz val="24"/>
      <color rgb="FF0058B1"/>
      <name val="Verdana"/>
      <family val="2"/>
      <scheme val="major"/>
    </font>
    <font>
      <sz val="12"/>
      <name val="Verdana"/>
      <family val="2"/>
      <scheme val="major"/>
    </font>
    <font>
      <b/>
      <sz val="12"/>
      <color rgb="FFFF0000"/>
      <name val="Verdana"/>
      <family val="2"/>
    </font>
    <font>
      <sz val="8"/>
      <color rgb="FFFF0000"/>
      <name val="Verdana"/>
      <family val="2"/>
    </font>
    <font>
      <b/>
      <sz val="8"/>
      <color rgb="FFFF0000"/>
      <name val="Verdana"/>
      <family val="2"/>
    </font>
    <font>
      <sz val="11"/>
      <color theme="0"/>
      <name val="Verdana"/>
      <family val="2"/>
      <scheme val="major"/>
    </font>
    <font>
      <sz val="10"/>
      <name val="Verdana"/>
      <family val="2"/>
      <scheme val="major"/>
    </font>
    <font>
      <sz val="10"/>
      <color theme="1"/>
      <name val="Verdana"/>
      <family val="2"/>
      <scheme val="major"/>
    </font>
    <font>
      <sz val="12"/>
      <color theme="0"/>
      <name val="Verdana"/>
      <family val="2"/>
      <scheme val="major"/>
    </font>
    <font>
      <b/>
      <sz val="8"/>
      <color theme="0"/>
      <name val="Verdana"/>
      <family val="2"/>
    </font>
    <font>
      <b/>
      <i/>
      <sz val="10"/>
      <color rgb="FF0058B1"/>
      <name val="Verdana"/>
      <family val="2"/>
    </font>
    <font>
      <b/>
      <sz val="9"/>
      <color theme="0"/>
      <name val="Verdana"/>
      <family val="2"/>
      <scheme val="minor"/>
    </font>
    <font>
      <b/>
      <sz val="9"/>
      <color rgb="FFFF0000"/>
      <name val="Verdana"/>
      <family val="2"/>
      <scheme val="minor"/>
    </font>
    <font>
      <sz val="9"/>
      <color theme="0"/>
      <name val="Verdana"/>
      <family val="2"/>
    </font>
    <font>
      <sz val="11"/>
      <color rgb="FFFF0000"/>
      <name val="Verdana"/>
      <family val="2"/>
      <scheme val="minor"/>
    </font>
    <font>
      <sz val="9"/>
      <color rgb="FFFF0000"/>
      <name val="Verdana"/>
      <family val="2"/>
      <scheme val="major"/>
    </font>
    <font>
      <sz val="8"/>
      <color rgb="FFFF0000"/>
      <name val="Verdana"/>
      <family val="2"/>
      <scheme val="major"/>
    </font>
    <font>
      <sz val="11"/>
      <color rgb="FFFF0000"/>
      <name val="Verdana"/>
      <family val="2"/>
    </font>
    <font>
      <b/>
      <sz val="12"/>
      <name val="Verdana"/>
      <family val="2"/>
      <scheme val="major"/>
    </font>
    <font>
      <sz val="11"/>
      <color rgb="FF0058B1"/>
      <name val="Verdana"/>
      <family val="2"/>
      <scheme val="minor"/>
    </font>
    <font>
      <b/>
      <sz val="10"/>
      <color rgb="FFFF0000"/>
      <name val="Verdana"/>
      <family val="2"/>
      <scheme val="minor"/>
    </font>
    <font>
      <sz val="10"/>
      <color rgb="FFFF0000"/>
      <name val="Verdana"/>
      <family val="2"/>
      <scheme val="minor"/>
    </font>
    <font>
      <b/>
      <sz val="11"/>
      <color rgb="FF0058B1"/>
      <name val="Verdana"/>
      <family val="2"/>
      <scheme val="major"/>
    </font>
    <font>
      <b/>
      <sz val="12"/>
      <color rgb="FF1D477C"/>
      <name val="Verdana"/>
      <family val="2"/>
      <scheme val="major"/>
    </font>
    <font>
      <sz val="12"/>
      <color theme="1"/>
      <name val="Verdana"/>
      <family val="2"/>
      <scheme val="major"/>
    </font>
    <font>
      <b/>
      <sz val="14"/>
      <color rgb="FF1D477C"/>
      <name val="Verdana"/>
      <family val="2"/>
      <scheme val="major"/>
    </font>
    <font>
      <sz val="14"/>
      <color theme="1"/>
      <name val="Verdana"/>
      <family val="2"/>
      <scheme val="minor"/>
    </font>
    <font>
      <sz val="9"/>
      <color rgb="FF0058B1"/>
      <name val="Verdana"/>
      <family val="2"/>
      <scheme val="minor"/>
    </font>
    <font>
      <sz val="9"/>
      <color rgb="FF1D477C"/>
      <name val="Verdana"/>
      <family val="2"/>
      <scheme val="minor"/>
    </font>
    <font>
      <b/>
      <sz val="9"/>
      <color rgb="FFFF0000"/>
      <name val="Verdana"/>
      <family val="2"/>
    </font>
    <font>
      <i/>
      <sz val="9"/>
      <color theme="0"/>
      <name val="Verdana"/>
      <family val="2"/>
    </font>
    <font>
      <i/>
      <sz val="9"/>
      <color theme="0"/>
      <name val="Verdana"/>
      <family val="2"/>
      <scheme val="minor"/>
    </font>
    <font>
      <i/>
      <sz val="10"/>
      <color theme="1"/>
      <name val="Verdana"/>
      <family val="2"/>
      <scheme val="minor"/>
    </font>
    <font>
      <sz val="9"/>
      <color theme="0"/>
      <name val="Verdana"/>
      <family val="2"/>
      <scheme val="minor"/>
    </font>
  </fonts>
  <fills count="17">
    <fill>
      <patternFill patternType="none"/>
    </fill>
    <fill>
      <patternFill patternType="gray125"/>
    </fill>
    <fill>
      <patternFill patternType="solid">
        <fgColor theme="2"/>
        <bgColor indexed="64"/>
      </patternFill>
    </fill>
    <fill>
      <patternFill patternType="solid">
        <fgColor rgb="FFD6E4F2"/>
        <bgColor indexed="64"/>
      </patternFill>
    </fill>
    <fill>
      <patternFill patternType="solid">
        <fgColor rgb="FFFFFF00"/>
        <bgColor indexed="64"/>
      </patternFill>
    </fill>
    <fill>
      <patternFill patternType="solid">
        <fgColor rgb="FFFDECE3"/>
        <bgColor indexed="64"/>
      </patternFill>
    </fill>
    <fill>
      <patternFill patternType="solid">
        <fgColor rgb="FF0058B1"/>
        <bgColor indexed="64"/>
      </patternFill>
    </fill>
    <fill>
      <patternFill patternType="solid">
        <fgColor rgb="FFFF0000"/>
        <bgColor indexed="64"/>
      </patternFill>
    </fill>
    <fill>
      <patternFill patternType="solid">
        <fgColor rgb="FFFFC000"/>
        <bgColor indexed="64"/>
      </patternFill>
    </fill>
    <fill>
      <patternFill patternType="solid">
        <fgColor rgb="FFE7F3FF"/>
        <bgColor indexed="64"/>
      </patternFill>
    </fill>
    <fill>
      <patternFill patternType="solid">
        <fgColor rgb="FF1272BD"/>
        <bgColor indexed="64"/>
      </patternFill>
    </fill>
    <fill>
      <patternFill patternType="solid">
        <fgColor rgb="FF70359D"/>
        <bgColor indexed="64"/>
      </patternFill>
    </fill>
    <fill>
      <patternFill patternType="solid">
        <fgColor rgb="FFFEFD38"/>
        <bgColor indexed="64"/>
      </patternFill>
    </fill>
    <fill>
      <patternFill patternType="solid">
        <fgColor rgb="FFFC101B"/>
        <bgColor indexed="64"/>
      </patternFill>
    </fill>
    <fill>
      <patternFill patternType="solid">
        <fgColor rgb="FF19AE55"/>
        <bgColor indexed="64"/>
      </patternFill>
    </fill>
    <fill>
      <patternFill patternType="solid">
        <fgColor theme="0"/>
        <bgColor indexed="64"/>
      </patternFill>
    </fill>
    <fill>
      <patternFill patternType="solid">
        <fgColor theme="0" tint="-0.14999847407452621"/>
        <bgColor theme="0" tint="-0.14999847407452621"/>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auto="1"/>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tted">
        <color indexed="64"/>
      </bottom>
      <diagonal/>
    </border>
    <border>
      <left style="thin">
        <color indexed="64"/>
      </left>
      <right style="thin">
        <color auto="1"/>
      </right>
      <top style="thin">
        <color indexed="64"/>
      </top>
      <bottom style="dotted">
        <color indexed="64"/>
      </bottom>
      <diagonal/>
    </border>
    <border>
      <left style="thin">
        <color auto="1"/>
      </left>
      <right/>
      <top style="dotted">
        <color indexed="64"/>
      </top>
      <bottom style="dotted">
        <color indexed="64"/>
      </bottom>
      <diagonal/>
    </border>
    <border>
      <left/>
      <right/>
      <top style="dotted">
        <color auto="1"/>
      </top>
      <bottom style="dotted">
        <color auto="1"/>
      </bottom>
      <diagonal/>
    </border>
    <border>
      <left style="thin">
        <color indexed="64"/>
      </left>
      <right style="thin">
        <color auto="1"/>
      </right>
      <top style="dotted">
        <color indexed="64"/>
      </top>
      <bottom style="dotted">
        <color indexed="64"/>
      </bottom>
      <diagonal/>
    </border>
    <border>
      <left/>
      <right/>
      <top style="dotted">
        <color auto="1"/>
      </top>
      <bottom/>
      <diagonal/>
    </border>
    <border>
      <left style="thin">
        <color indexed="64"/>
      </left>
      <right style="thin">
        <color auto="1"/>
      </right>
      <top style="dotted">
        <color indexed="64"/>
      </top>
      <bottom style="thin">
        <color auto="1"/>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style="thin">
        <color indexed="64"/>
      </top>
      <bottom/>
      <diagonal/>
    </border>
    <border>
      <left style="dotted">
        <color indexed="64"/>
      </left>
      <right style="dotted">
        <color indexed="64"/>
      </right>
      <top style="dotted">
        <color indexed="64"/>
      </top>
      <bottom/>
      <diagonal/>
    </border>
    <border>
      <left style="dotted">
        <color indexed="64"/>
      </left>
      <right style="dotted">
        <color indexed="64"/>
      </right>
      <top style="thin">
        <color indexed="64"/>
      </top>
      <bottom style="dotted">
        <color indexed="64"/>
      </bottom>
      <diagonal/>
    </border>
    <border>
      <left/>
      <right/>
      <top/>
      <bottom style="thin">
        <color rgb="FF0058B1"/>
      </bottom>
      <diagonal/>
    </border>
    <border>
      <left/>
      <right/>
      <top/>
      <bottom style="medium">
        <color rgb="FF0058B1"/>
      </bottom>
      <diagonal/>
    </border>
    <border>
      <left/>
      <right style="medium">
        <color indexed="64"/>
      </right>
      <top style="medium">
        <color indexed="64"/>
      </top>
      <bottom style="medium">
        <color theme="1"/>
      </bottom>
      <diagonal/>
    </border>
    <border>
      <left/>
      <right/>
      <top style="thin">
        <color rgb="FF0058B1"/>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indexed="64"/>
      </top>
      <bottom/>
      <diagonal/>
    </border>
    <border>
      <left style="dashed">
        <color indexed="64"/>
      </left>
      <right style="thin">
        <color indexed="64"/>
      </right>
      <top/>
      <bottom/>
      <diagonal/>
    </border>
    <border>
      <left/>
      <right/>
      <top/>
      <bottom style="medium">
        <color indexed="64"/>
      </bottom>
      <diagonal/>
    </border>
    <border>
      <left/>
      <right style="dotted">
        <color indexed="64"/>
      </right>
      <top style="dotted">
        <color indexed="64"/>
      </top>
      <bottom style="dotted">
        <color indexed="64"/>
      </bottom>
      <diagonal/>
    </border>
    <border>
      <left/>
      <right/>
      <top/>
      <bottom style="medium">
        <color rgb="FF026273"/>
      </bottom>
      <diagonal/>
    </border>
    <border>
      <left/>
      <right/>
      <top/>
      <bottom style="thin">
        <color theme="1"/>
      </bottom>
      <diagonal/>
    </border>
    <border>
      <left/>
      <right/>
      <top style="medium">
        <color rgb="FF0058B1"/>
      </top>
      <bottom style="thin">
        <color auto="1"/>
      </bottom>
      <diagonal/>
    </border>
    <border>
      <left/>
      <right style="medium">
        <color indexed="64"/>
      </right>
      <top/>
      <bottom/>
      <diagonal/>
    </border>
    <border>
      <left/>
      <right style="medium">
        <color auto="1"/>
      </right>
      <top/>
      <bottom style="thin">
        <color indexed="64"/>
      </bottom>
      <diagonal/>
    </border>
    <border>
      <left style="medium">
        <color auto="1"/>
      </left>
      <right/>
      <top/>
      <bottom style="thin">
        <color indexed="64"/>
      </bottom>
      <diagonal/>
    </border>
    <border>
      <left style="dashed">
        <color indexed="64"/>
      </left>
      <right style="thin">
        <color indexed="64"/>
      </right>
      <top/>
      <bottom style="thin">
        <color indexed="64"/>
      </bottom>
      <diagonal/>
    </border>
    <border>
      <left style="medium">
        <color indexed="64"/>
      </left>
      <right/>
      <top style="thin">
        <color indexed="64"/>
      </top>
      <bottom/>
      <diagonal/>
    </border>
    <border>
      <left style="dashed">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auto="1"/>
      </left>
      <right style="medium">
        <color indexed="64"/>
      </right>
      <top/>
      <bottom/>
      <diagonal/>
    </border>
    <border>
      <left style="dashed">
        <color auto="1"/>
      </left>
      <right style="medium">
        <color indexed="64"/>
      </right>
      <top style="thin">
        <color indexed="64"/>
      </top>
      <bottom/>
      <diagonal/>
    </border>
    <border>
      <left style="dashed">
        <color auto="1"/>
      </left>
      <right style="medium">
        <color indexed="64"/>
      </right>
      <top/>
      <bottom style="thin">
        <color indexed="64"/>
      </bottom>
      <diagonal/>
    </border>
    <border>
      <left style="medium">
        <color indexed="64"/>
      </left>
      <right/>
      <top/>
      <bottom style="medium">
        <color indexed="64"/>
      </bottom>
      <diagonal/>
    </border>
    <border>
      <left/>
      <right style="medium">
        <color auto="1"/>
      </right>
      <top/>
      <bottom style="medium">
        <color indexed="64"/>
      </bottom>
      <diagonal/>
    </border>
    <border>
      <left style="dashed">
        <color indexed="64"/>
      </left>
      <right style="thin">
        <color indexed="64"/>
      </right>
      <top/>
      <bottom style="medium">
        <color indexed="64"/>
      </bottom>
      <diagonal/>
    </border>
    <border>
      <left style="dashed">
        <color auto="1"/>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theme="1"/>
      </bottom>
      <diagonal/>
    </border>
    <border>
      <left/>
      <right style="medium">
        <color indexed="64"/>
      </right>
      <top style="thin">
        <color indexed="64"/>
      </top>
      <bottom style="medium">
        <color theme="1"/>
      </bottom>
      <diagonal/>
    </border>
    <border>
      <left/>
      <right style="thin">
        <color indexed="64"/>
      </right>
      <top style="thin">
        <color indexed="64"/>
      </top>
      <bottom style="medium">
        <color theme="1"/>
      </bottom>
      <diagonal/>
    </border>
    <border>
      <left/>
      <right/>
      <top style="medium">
        <color indexed="64"/>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52" fillId="0" borderId="0"/>
    <xf numFmtId="0" fontId="67" fillId="0" borderId="0" applyNumberFormat="0" applyFill="0" applyBorder="0" applyAlignment="0" applyProtection="0"/>
  </cellStyleXfs>
  <cellXfs count="815">
    <xf numFmtId="0" fontId="0" fillId="0" borderId="0" xfId="0"/>
    <xf numFmtId="0" fontId="10" fillId="0" borderId="0" xfId="0" applyFont="1" applyAlignment="1">
      <alignment wrapText="1"/>
    </xf>
    <xf numFmtId="0" fontId="0" fillId="0" borderId="0" xfId="0" applyAlignment="1">
      <alignment horizontal="left"/>
    </xf>
    <xf numFmtId="0" fontId="15" fillId="0" borderId="0" xfId="0" applyFont="1" applyAlignment="1">
      <alignment vertical="top" wrapText="1"/>
    </xf>
    <xf numFmtId="0" fontId="31" fillId="3" borderId="0" xfId="0" applyFont="1" applyFill="1" applyAlignment="1">
      <alignment horizontal="left" vertical="center"/>
    </xf>
    <xf numFmtId="0" fontId="31" fillId="3" borderId="0" xfId="0" applyFont="1" applyFill="1" applyAlignment="1">
      <alignment horizontal="center" vertical="center"/>
    </xf>
    <xf numFmtId="0" fontId="32" fillId="0" borderId="0" xfId="0" applyFont="1" applyAlignment="1">
      <alignment horizontal="left" vertical="top" wrapText="1"/>
    </xf>
    <xf numFmtId="0" fontId="32" fillId="0" borderId="0" xfId="0" applyFont="1" applyAlignment="1">
      <alignment vertical="top" wrapText="1"/>
    </xf>
    <xf numFmtId="0" fontId="33" fillId="3" borderId="0" xfId="0" applyFont="1" applyFill="1" applyAlignment="1">
      <alignment horizontal="left"/>
    </xf>
    <xf numFmtId="0" fontId="34" fillId="0" borderId="1" xfId="0" applyFont="1" applyBorder="1" applyAlignment="1">
      <alignment wrapText="1"/>
    </xf>
    <xf numFmtId="0" fontId="35" fillId="0" borderId="2" xfId="0" applyFont="1" applyFill="1" applyBorder="1" applyAlignment="1">
      <alignment horizontal="left"/>
    </xf>
    <xf numFmtId="0" fontId="36" fillId="0" borderId="2" xfId="0" applyFont="1" applyFill="1" applyBorder="1" applyAlignment="1">
      <alignment horizontal="left"/>
    </xf>
    <xf numFmtId="0" fontId="37" fillId="0" borderId="2" xfId="0" applyFont="1" applyBorder="1" applyAlignment="1"/>
    <xf numFmtId="0" fontId="38" fillId="0" borderId="3" xfId="0" applyFont="1" applyFill="1" applyBorder="1" applyAlignment="1">
      <alignment horizontal="left" wrapText="1"/>
    </xf>
    <xf numFmtId="0" fontId="34" fillId="0" borderId="0" xfId="0" applyFont="1" applyAlignment="1">
      <alignment wrapText="1"/>
    </xf>
    <xf numFmtId="0" fontId="32" fillId="0" borderId="4" xfId="0" applyFont="1" applyBorder="1" applyAlignment="1">
      <alignment vertical="top" wrapText="1"/>
    </xf>
    <xf numFmtId="0" fontId="32" fillId="0" borderId="6" xfId="0" applyFont="1" applyFill="1" applyBorder="1" applyAlignment="1">
      <alignment horizontal="left" vertical="top" wrapText="1"/>
    </xf>
    <xf numFmtId="0" fontId="41" fillId="0" borderId="0" xfId="0" applyFont="1" applyFill="1" applyBorder="1" applyAlignment="1">
      <alignment horizontal="center" vertical="top" wrapText="1"/>
    </xf>
    <xf numFmtId="0" fontId="30" fillId="0" borderId="0" xfId="0" applyFont="1" applyFill="1" applyBorder="1" applyAlignment="1">
      <alignment horizontal="center" vertical="top" wrapText="1"/>
    </xf>
    <xf numFmtId="0" fontId="30" fillId="0" borderId="0" xfId="0" applyFont="1" applyFill="1" applyBorder="1" applyAlignment="1">
      <alignment vertical="center"/>
    </xf>
    <xf numFmtId="0" fontId="30" fillId="0" borderId="0" xfId="0" applyFont="1" applyFill="1" applyBorder="1" applyAlignment="1">
      <alignment horizontal="right"/>
    </xf>
    <xf numFmtId="0" fontId="43" fillId="3" borderId="0" xfId="0" applyFont="1" applyFill="1" applyBorder="1" applyAlignment="1" applyProtection="1">
      <alignment horizontal="left" vertical="center" wrapText="1"/>
      <protection locked="0"/>
    </xf>
    <xf numFmtId="0" fontId="32" fillId="0" borderId="0" xfId="0" applyFont="1" applyAlignment="1">
      <alignment horizontal="center" vertical="top" wrapText="1"/>
    </xf>
    <xf numFmtId="0" fontId="44" fillId="0" borderId="17" xfId="0" applyFont="1" applyBorder="1" applyAlignment="1">
      <alignment horizontal="center" vertical="center" wrapText="1"/>
    </xf>
    <xf numFmtId="0" fontId="32" fillId="0" borderId="19" xfId="0" applyFont="1" applyBorder="1" applyAlignment="1">
      <alignment horizontal="center" vertical="top" wrapText="1"/>
    </xf>
    <xf numFmtId="0" fontId="43" fillId="3" borderId="0" xfId="0" applyFont="1" applyFill="1" applyBorder="1" applyAlignment="1" applyProtection="1">
      <alignment horizontal="center" vertical="center" wrapText="1"/>
      <protection locked="0"/>
    </xf>
    <xf numFmtId="0" fontId="45" fillId="0" borderId="0" xfId="0" applyFont="1" applyAlignment="1">
      <alignment horizontal="right" vertical="top" wrapText="1"/>
    </xf>
    <xf numFmtId="0" fontId="32" fillId="0" borderId="0" xfId="0" applyFont="1" applyAlignment="1">
      <alignment vertical="center" wrapText="1"/>
    </xf>
    <xf numFmtId="0" fontId="30" fillId="0" borderId="0" xfId="0" applyFont="1" applyFill="1" applyBorder="1" applyAlignment="1">
      <alignment horizontal="left" vertical="top" wrapText="1"/>
    </xf>
    <xf numFmtId="0" fontId="46" fillId="0" borderId="5" xfId="0" applyFont="1" applyBorder="1" applyAlignment="1">
      <alignment horizontal="left" vertical="center" wrapText="1"/>
    </xf>
    <xf numFmtId="0" fontId="40" fillId="0" borderId="0" xfId="0" applyFont="1" applyFill="1" applyBorder="1" applyAlignment="1">
      <alignment horizontal="center" vertical="top"/>
    </xf>
    <xf numFmtId="0" fontId="44" fillId="0" borderId="5" xfId="0" applyFont="1" applyBorder="1" applyAlignment="1">
      <alignment horizontal="center" vertical="center" wrapText="1"/>
    </xf>
    <xf numFmtId="0" fontId="45" fillId="0" borderId="5" xfId="0" applyFont="1" applyBorder="1" applyAlignment="1">
      <alignment horizontal="right" vertical="top" wrapText="1"/>
    </xf>
    <xf numFmtId="0" fontId="32" fillId="0" borderId="5" xfId="0" applyFont="1" applyBorder="1" applyAlignment="1">
      <alignment vertical="top" wrapText="1"/>
    </xf>
    <xf numFmtId="0" fontId="62" fillId="6" borderId="31" xfId="0" applyFont="1" applyFill="1" applyBorder="1" applyAlignment="1">
      <alignment horizontal="center" vertical="center"/>
    </xf>
    <xf numFmtId="0" fontId="0" fillId="0" borderId="0" xfId="0" applyFont="1" applyAlignment="1">
      <alignment horizontal="center"/>
    </xf>
    <xf numFmtId="0" fontId="14" fillId="0" borderId="0" xfId="0" applyFont="1" applyAlignment="1">
      <alignment vertical="top"/>
    </xf>
    <xf numFmtId="9" fontId="13" fillId="0" borderId="0" xfId="1" applyFont="1" applyAlignment="1">
      <alignment horizontal="center"/>
    </xf>
    <xf numFmtId="0" fontId="62" fillId="6" borderId="0" xfId="0" applyFont="1" applyFill="1" applyBorder="1" applyAlignment="1">
      <alignment horizontal="center" vertical="center"/>
    </xf>
    <xf numFmtId="0" fontId="13" fillId="0" borderId="0" xfId="0" applyFont="1" applyAlignment="1">
      <alignment horizontal="center"/>
    </xf>
    <xf numFmtId="0" fontId="15" fillId="0" borderId="0" xfId="0" applyFont="1" applyAlignment="1">
      <alignment wrapText="1"/>
    </xf>
    <xf numFmtId="9" fontId="68" fillId="0" borderId="0" xfId="0" applyNumberFormat="1" applyFont="1" applyFill="1" applyBorder="1" applyAlignment="1">
      <alignment horizontal="center" vertical="center"/>
    </xf>
    <xf numFmtId="0" fontId="68" fillId="9" borderId="0" xfId="0" applyFont="1" applyFill="1" applyBorder="1" applyAlignment="1">
      <alignment horizontal="center" vertical="center"/>
    </xf>
    <xf numFmtId="0" fontId="62" fillId="6" borderId="0" xfId="0" applyFont="1" applyFill="1" applyBorder="1" applyAlignment="1">
      <alignment vertical="center"/>
    </xf>
    <xf numFmtId="0" fontId="52" fillId="0" borderId="0" xfId="0" applyFont="1"/>
    <xf numFmtId="0" fontId="78" fillId="0" borderId="0" xfId="0" applyFont="1"/>
    <xf numFmtId="0" fontId="79" fillId="0" borderId="0" xfId="0" applyFont="1" applyFill="1" applyBorder="1" applyAlignment="1">
      <alignment horizontal="left" vertical="center" wrapText="1"/>
    </xf>
    <xf numFmtId="0" fontId="51" fillId="0" borderId="0" xfId="0" applyFont="1"/>
    <xf numFmtId="0" fontId="74" fillId="0" borderId="0" xfId="0" applyFont="1" applyFill="1" applyBorder="1" applyAlignment="1">
      <alignment horizontal="right"/>
    </xf>
    <xf numFmtId="0" fontId="80" fillId="0" borderId="0" xfId="0" applyFont="1" applyFill="1" applyBorder="1" applyAlignment="1">
      <alignment vertical="top" wrapText="1"/>
    </xf>
    <xf numFmtId="0" fontId="0" fillId="0" borderId="0" xfId="0" applyAlignment="1">
      <alignment horizontal="center"/>
    </xf>
    <xf numFmtId="0" fontId="62" fillId="6" borderId="31" xfId="0" applyFont="1" applyFill="1" applyBorder="1" applyAlignment="1">
      <alignment horizontal="left" vertical="center"/>
    </xf>
    <xf numFmtId="0" fontId="13" fillId="0" borderId="0" xfId="0" applyFont="1"/>
    <xf numFmtId="0" fontId="80" fillId="0" borderId="0" xfId="0" applyFont="1" applyFill="1" applyBorder="1" applyAlignment="1">
      <alignment wrapText="1"/>
    </xf>
    <xf numFmtId="0" fontId="77" fillId="0" borderId="13" xfId="0" applyFont="1" applyFill="1" applyBorder="1" applyAlignment="1" applyProtection="1">
      <alignment horizontal="left" vertical="center" wrapText="1"/>
      <protection locked="0"/>
    </xf>
    <xf numFmtId="0" fontId="45" fillId="3" borderId="0" xfId="0" applyFont="1" applyFill="1" applyAlignment="1">
      <alignment horizontal="left" vertical="center"/>
    </xf>
    <xf numFmtId="0" fontId="42" fillId="0" borderId="4" xfId="0" applyFont="1" applyBorder="1" applyAlignment="1">
      <alignment vertical="top" wrapText="1"/>
    </xf>
    <xf numFmtId="0" fontId="91" fillId="0" borderId="0" xfId="0" applyFont="1" applyFill="1" applyBorder="1" applyAlignment="1">
      <alignment horizontal="center" vertical="top" wrapText="1"/>
    </xf>
    <xf numFmtId="0" fontId="39" fillId="0" borderId="0" xfId="0" applyFont="1" applyFill="1" applyBorder="1" applyAlignment="1">
      <alignment vertical="center"/>
    </xf>
    <xf numFmtId="0" fontId="42" fillId="0" borderId="6" xfId="0" applyFont="1" applyFill="1" applyBorder="1" applyAlignment="1">
      <alignment horizontal="left" vertical="top" wrapText="1"/>
    </xf>
    <xf numFmtId="0" fontId="42" fillId="0" borderId="4" xfId="0" applyFont="1" applyBorder="1" applyAlignment="1">
      <alignment vertical="center"/>
    </xf>
    <xf numFmtId="0" fontId="42" fillId="0" borderId="6" xfId="0" applyFont="1" applyFill="1" applyBorder="1" applyAlignment="1">
      <alignment horizontal="left" vertical="center"/>
    </xf>
    <xf numFmtId="0" fontId="71" fillId="0" borderId="0" xfId="0" applyFont="1" applyFill="1" applyBorder="1" applyAlignment="1">
      <alignment horizontal="center"/>
    </xf>
    <xf numFmtId="0" fontId="74" fillId="0" borderId="0" xfId="0" applyFont="1" applyBorder="1" applyAlignment="1">
      <alignment horizontal="center" vertical="center"/>
    </xf>
    <xf numFmtId="0" fontId="32" fillId="0" borderId="0" xfId="0" applyFont="1" applyBorder="1" applyAlignment="1">
      <alignment vertical="top" wrapText="1"/>
    </xf>
    <xf numFmtId="0" fontId="34" fillId="0" borderId="2" xfId="0" applyFont="1" applyBorder="1" applyAlignment="1">
      <alignment wrapText="1"/>
    </xf>
    <xf numFmtId="0" fontId="42" fillId="0" borderId="0" xfId="0" applyFont="1" applyBorder="1" applyAlignment="1">
      <alignment vertical="top" wrapText="1"/>
    </xf>
    <xf numFmtId="0" fontId="42" fillId="0" borderId="0" xfId="0" applyFont="1" applyBorder="1" applyAlignment="1">
      <alignment vertical="center"/>
    </xf>
    <xf numFmtId="0" fontId="32" fillId="0" borderId="4" xfId="0" applyFont="1" applyBorder="1" applyAlignment="1">
      <alignment vertical="center" wrapText="1"/>
    </xf>
    <xf numFmtId="0" fontId="100" fillId="0" borderId="0" xfId="0" applyFont="1" applyBorder="1" applyAlignment="1">
      <alignment vertical="center" wrapText="1"/>
    </xf>
    <xf numFmtId="0" fontId="32" fillId="0" borderId="6" xfId="0" applyFont="1" applyFill="1" applyBorder="1" applyAlignment="1">
      <alignment horizontal="left" vertical="center" wrapText="1"/>
    </xf>
    <xf numFmtId="0" fontId="39" fillId="0" borderId="0" xfId="0" applyFont="1" applyFill="1" applyBorder="1" applyAlignment="1"/>
    <xf numFmtId="0" fontId="43" fillId="0" borderId="0" xfId="0" applyFont="1" applyFill="1" applyBorder="1" applyAlignment="1" applyProtection="1">
      <alignment horizontal="left" vertical="center" wrapText="1"/>
      <protection locked="0"/>
    </xf>
    <xf numFmtId="0" fontId="31" fillId="0" borderId="0" xfId="0" applyFont="1" applyFill="1" applyBorder="1" applyAlignment="1">
      <alignment horizontal="left" vertical="center"/>
    </xf>
    <xf numFmtId="0" fontId="33" fillId="0" borderId="0" xfId="0" applyFont="1" applyFill="1" applyBorder="1" applyAlignment="1">
      <alignment horizontal="left"/>
    </xf>
    <xf numFmtId="0" fontId="45" fillId="0" borderId="0" xfId="0" applyFont="1" applyFill="1" applyBorder="1" applyAlignment="1">
      <alignment horizontal="left" vertical="center"/>
    </xf>
    <xf numFmtId="0" fontId="32" fillId="0" borderId="0" xfId="0" applyFont="1" applyFill="1" applyBorder="1" applyAlignment="1">
      <alignment horizontal="center" vertical="top" wrapText="1"/>
    </xf>
    <xf numFmtId="0" fontId="32" fillId="0" borderId="0" xfId="0" applyFont="1" applyAlignment="1">
      <alignment horizontal="center" vertical="center" wrapText="1"/>
    </xf>
    <xf numFmtId="0" fontId="71" fillId="0" borderId="0" xfId="0" applyFont="1" applyFill="1" applyBorder="1" applyAlignment="1">
      <alignment horizontal="center" vertical="center"/>
    </xf>
    <xf numFmtId="0" fontId="34"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9" fillId="0" borderId="0" xfId="0" applyFont="1" applyFill="1" applyBorder="1" applyAlignment="1">
      <alignment horizontal="center" vertical="center"/>
    </xf>
    <xf numFmtId="0" fontId="101"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102" fillId="0" borderId="0" xfId="0" applyFont="1" applyFill="1" applyBorder="1" applyAlignment="1">
      <alignment horizontal="center" vertical="center"/>
    </xf>
    <xf numFmtId="0" fontId="42" fillId="0" borderId="6" xfId="0" applyFont="1" applyFill="1" applyBorder="1" applyAlignment="1">
      <alignment horizontal="left" vertical="center" wrapText="1"/>
    </xf>
    <xf numFmtId="0" fontId="32" fillId="0" borderId="0" xfId="0" applyFont="1" applyFill="1" applyAlignment="1">
      <alignment vertical="top" wrapText="1"/>
    </xf>
    <xf numFmtId="0" fontId="32" fillId="0" borderId="0" xfId="0" applyFont="1" applyFill="1" applyAlignment="1">
      <alignment horizontal="center" vertical="center"/>
    </xf>
    <xf numFmtId="0" fontId="32" fillId="0" borderId="0" xfId="0" applyFont="1" applyFill="1" applyAlignment="1">
      <alignment horizontal="left" vertical="center"/>
    </xf>
    <xf numFmtId="0" fontId="106" fillId="0" borderId="0" xfId="0" applyFont="1" applyFill="1" applyBorder="1" applyAlignment="1">
      <alignment horizontal="center" vertical="center"/>
    </xf>
    <xf numFmtId="0" fontId="106" fillId="0" borderId="4" xfId="0" applyFont="1" applyFill="1" applyBorder="1" applyAlignment="1">
      <alignment horizontal="center" vertical="top" wrapText="1"/>
    </xf>
    <xf numFmtId="0" fontId="81" fillId="0" borderId="0" xfId="0" applyFont="1" applyFill="1" applyAlignment="1">
      <alignment horizontal="left" vertical="top"/>
    </xf>
    <xf numFmtId="0" fontId="107" fillId="0" borderId="0" xfId="0" applyFont="1" applyFill="1" applyBorder="1" applyAlignment="1">
      <alignment horizontal="left" vertical="center"/>
    </xf>
    <xf numFmtId="0" fontId="108" fillId="0" borderId="0" xfId="0" applyFont="1" applyFill="1" applyAlignment="1">
      <alignment horizontal="center" vertical="center"/>
    </xf>
    <xf numFmtId="0" fontId="76" fillId="0" borderId="0" xfId="0" applyFont="1" applyAlignment="1">
      <alignment vertical="top" wrapText="1"/>
    </xf>
    <xf numFmtId="0" fontId="76" fillId="0" borderId="0" xfId="0" applyFont="1" applyAlignment="1">
      <alignment horizontal="left" vertical="center" wrapText="1"/>
    </xf>
    <xf numFmtId="0" fontId="76" fillId="0" borderId="0" xfId="0" applyFont="1" applyAlignment="1">
      <alignment horizontal="left" vertical="center"/>
    </xf>
    <xf numFmtId="0" fontId="76" fillId="0" borderId="0" xfId="0" applyFont="1" applyAlignment="1">
      <alignment horizontal="left" vertical="center" wrapText="1" indent="11"/>
    </xf>
    <xf numFmtId="0" fontId="76" fillId="0" borderId="0" xfId="0" applyFont="1" applyAlignment="1">
      <alignment horizontal="left" vertical="center" wrapText="1" indent="15"/>
    </xf>
    <xf numFmtId="0" fontId="109" fillId="0" borderId="0" xfId="0" applyFont="1" applyFill="1" applyBorder="1" applyAlignment="1">
      <alignment horizontal="right" vertical="center"/>
    </xf>
    <xf numFmtId="0" fontId="71" fillId="0" borderId="0" xfId="0" applyFont="1" applyAlignment="1">
      <alignment horizontal="left" vertical="center"/>
    </xf>
    <xf numFmtId="0" fontId="15" fillId="0" borderId="0" xfId="0" applyFont="1" applyFill="1" applyAlignment="1">
      <alignment vertical="top" wrapText="1"/>
    </xf>
    <xf numFmtId="0" fontId="15" fillId="0" borderId="0" xfId="0" applyFont="1" applyFill="1" applyAlignment="1">
      <alignment horizontal="left" vertical="top" wrapText="1"/>
    </xf>
    <xf numFmtId="0" fontId="51" fillId="0" borderId="0" xfId="0" applyFont="1" applyAlignment="1">
      <alignment horizontal="center"/>
    </xf>
    <xf numFmtId="9" fontId="63" fillId="0" borderId="0" xfId="1" applyFont="1" applyFill="1" applyBorder="1" applyAlignment="1">
      <alignment horizontal="center" vertical="top"/>
    </xf>
    <xf numFmtId="0" fontId="47" fillId="0" borderId="0" xfId="0" applyFont="1" applyFill="1" applyBorder="1" applyAlignment="1">
      <alignment vertical="top" wrapText="1"/>
    </xf>
    <xf numFmtId="0" fontId="80" fillId="0" borderId="0" xfId="2" applyFont="1" applyFill="1" applyBorder="1" applyAlignment="1">
      <alignment vertical="top" wrapText="1"/>
    </xf>
    <xf numFmtId="0" fontId="47" fillId="0" borderId="0" xfId="0" applyFont="1" applyFill="1" applyBorder="1" applyAlignment="1">
      <alignment horizontal="left" vertical="top" wrapText="1"/>
    </xf>
    <xf numFmtId="0" fontId="42" fillId="0" borderId="1" xfId="0" applyFont="1" applyBorder="1" applyAlignment="1">
      <alignment vertical="top" wrapText="1"/>
    </xf>
    <xf numFmtId="0" fontId="42" fillId="0" borderId="2" xfId="0" applyFont="1" applyBorder="1" applyAlignment="1">
      <alignment vertical="top" wrapText="1"/>
    </xf>
    <xf numFmtId="0" fontId="39" fillId="0" borderId="2" xfId="0" applyFont="1" applyFill="1" applyBorder="1" applyAlignment="1">
      <alignment vertical="center"/>
    </xf>
    <xf numFmtId="0" fontId="42" fillId="0" borderId="3" xfId="0" applyFont="1" applyFill="1" applyBorder="1" applyAlignment="1">
      <alignment horizontal="left" vertical="top" wrapText="1"/>
    </xf>
    <xf numFmtId="0" fontId="68" fillId="0" borderId="0" xfId="0" applyFont="1" applyBorder="1" applyAlignment="1">
      <alignment vertical="center" wrapText="1"/>
    </xf>
    <xf numFmtId="0" fontId="101" fillId="0" borderId="0" xfId="0" applyFont="1" applyBorder="1" applyAlignment="1">
      <alignment vertical="center" wrapText="1"/>
    </xf>
    <xf numFmtId="0" fontId="68" fillId="0" borderId="0" xfId="0" applyFont="1" applyBorder="1" applyAlignment="1">
      <alignment horizontal="left" vertical="center"/>
    </xf>
    <xf numFmtId="0" fontId="101" fillId="0" borderId="0" xfId="0" applyFont="1" applyBorder="1" applyAlignment="1">
      <alignment horizontal="left" vertical="center"/>
    </xf>
    <xf numFmtId="0" fontId="68" fillId="0" borderId="0" xfId="0" applyFont="1" applyFill="1" applyBorder="1" applyAlignment="1">
      <alignment vertical="center"/>
    </xf>
    <xf numFmtId="0" fontId="101" fillId="0" borderId="0" xfId="0" applyFont="1" applyFill="1" applyBorder="1" applyAlignment="1">
      <alignment vertical="center"/>
    </xf>
    <xf numFmtId="9" fontId="0" fillId="0" borderId="0" xfId="0" applyNumberFormat="1" applyAlignment="1">
      <alignment horizontal="left"/>
    </xf>
    <xf numFmtId="0" fontId="79" fillId="0" borderId="0" xfId="0" applyFont="1" applyFill="1" applyAlignment="1">
      <alignment horizontal="left" vertical="center"/>
    </xf>
    <xf numFmtId="0" fontId="72" fillId="0" borderId="0" xfId="0" applyFont="1" applyFill="1" applyBorder="1" applyAlignment="1">
      <alignment horizontal="left" vertical="center" wrapText="1"/>
    </xf>
    <xf numFmtId="0" fontId="95" fillId="0" borderId="0" xfId="0" applyFont="1" applyFill="1" applyBorder="1" applyAlignment="1">
      <alignment horizontal="left" vertical="center"/>
    </xf>
    <xf numFmtId="0" fontId="116" fillId="0" borderId="0" xfId="0" applyFont="1" applyAlignment="1">
      <alignment vertical="top" wrapText="1"/>
    </xf>
    <xf numFmtId="0" fontId="117" fillId="0" borderId="0" xfId="0" applyFont="1" applyAlignment="1">
      <alignment wrapText="1"/>
    </xf>
    <xf numFmtId="0" fontId="116" fillId="0" borderId="0" xfId="0" applyFont="1" applyAlignment="1">
      <alignment vertical="center" wrapText="1"/>
    </xf>
    <xf numFmtId="0" fontId="116" fillId="0" borderId="0" xfId="0" applyFont="1" applyAlignment="1">
      <alignment horizontal="center" vertical="top" wrapText="1"/>
    </xf>
    <xf numFmtId="0" fontId="64" fillId="0" borderId="0" xfId="0" applyFont="1" applyFill="1" applyBorder="1" applyAlignment="1">
      <alignment horizontal="center" vertical="top"/>
    </xf>
    <xf numFmtId="0" fontId="63" fillId="0" borderId="0" xfId="0" applyFont="1" applyFill="1" applyBorder="1" applyAlignment="1">
      <alignment horizontal="center" vertical="top"/>
    </xf>
    <xf numFmtId="0" fontId="63" fillId="0" borderId="0" xfId="0" applyFont="1" applyFill="1" applyBorder="1" applyAlignment="1">
      <alignment horizontal="left" vertical="top"/>
    </xf>
    <xf numFmtId="0" fontId="109" fillId="0" borderId="0" xfId="0" applyFont="1" applyFill="1" applyBorder="1" applyAlignment="1">
      <alignment horizontal="left" vertical="center"/>
    </xf>
    <xf numFmtId="0" fontId="42" fillId="0" borderId="4" xfId="0" applyFont="1" applyBorder="1" applyAlignment="1">
      <alignment horizontal="left" vertical="top"/>
    </xf>
    <xf numFmtId="0" fontId="42" fillId="0" borderId="0" xfId="0" applyFont="1" applyBorder="1" applyAlignment="1">
      <alignment horizontal="left" vertical="top"/>
    </xf>
    <xf numFmtId="0" fontId="79" fillId="0" borderId="0" xfId="0" applyFont="1" applyFill="1" applyAlignment="1">
      <alignment horizontal="right" vertical="center"/>
    </xf>
    <xf numFmtId="0" fontId="79" fillId="0" borderId="0" xfId="0" applyFont="1" applyFill="1" applyAlignment="1">
      <alignment horizontal="right" vertical="top"/>
    </xf>
    <xf numFmtId="0" fontId="106" fillId="0" borderId="0" xfId="0" applyFont="1" applyFill="1" applyBorder="1" applyAlignment="1">
      <alignment horizontal="right" vertical="center"/>
    </xf>
    <xf numFmtId="0" fontId="106" fillId="0" borderId="4" xfId="0" applyFont="1" applyBorder="1" applyAlignment="1">
      <alignment horizontal="left" vertical="center" wrapText="1"/>
    </xf>
    <xf numFmtId="0" fontId="106" fillId="0" borderId="4" xfId="0" applyFont="1" applyBorder="1" applyAlignment="1">
      <alignment horizontal="left" vertical="center"/>
    </xf>
    <xf numFmtId="0" fontId="106" fillId="0" borderId="0" xfId="0" applyFont="1" applyBorder="1" applyAlignment="1">
      <alignment horizontal="left" vertical="center"/>
    </xf>
    <xf numFmtId="0" fontId="106" fillId="0" borderId="0" xfId="0" applyFont="1" applyBorder="1" applyAlignment="1">
      <alignment horizontal="left" vertical="center" wrapText="1"/>
    </xf>
    <xf numFmtId="0" fontId="119" fillId="0" borderId="5" xfId="0" applyFont="1" applyFill="1" applyBorder="1" applyAlignment="1">
      <alignment horizontal="left" vertical="center"/>
    </xf>
    <xf numFmtId="0" fontId="119" fillId="0" borderId="5" xfId="0" applyFont="1" applyFill="1" applyBorder="1" applyAlignment="1">
      <alignment horizontal="center" vertical="center"/>
    </xf>
    <xf numFmtId="0" fontId="120" fillId="0" borderId="0" xfId="0" applyFont="1" applyFill="1" applyAlignment="1">
      <alignment horizontal="left"/>
    </xf>
    <xf numFmtId="0" fontId="113" fillId="0" borderId="0" xfId="0" applyFont="1" applyFill="1" applyBorder="1" applyAlignment="1">
      <alignment horizontal="center" vertical="top"/>
    </xf>
    <xf numFmtId="0" fontId="121" fillId="0" borderId="0" xfId="0" applyFont="1" applyFill="1" applyBorder="1" applyAlignment="1">
      <alignment horizontal="center" vertical="top"/>
    </xf>
    <xf numFmtId="0" fontId="122" fillId="0" borderId="0" xfId="0" applyFont="1" applyFill="1" applyBorder="1" applyAlignment="1">
      <alignment horizontal="left" vertical="top"/>
    </xf>
    <xf numFmtId="9" fontId="64" fillId="4" borderId="0" xfId="1" applyFont="1" applyFill="1" applyBorder="1" applyAlignment="1">
      <alignment horizontal="center" vertical="top"/>
    </xf>
    <xf numFmtId="0" fontId="112" fillId="6" borderId="0" xfId="0" applyFont="1" applyFill="1" applyBorder="1" applyAlignment="1">
      <alignment horizontal="center" vertical="center"/>
    </xf>
    <xf numFmtId="0" fontId="123" fillId="0" borderId="0" xfId="0" applyFont="1" applyFill="1" applyBorder="1" applyAlignment="1">
      <alignment horizontal="left" vertical="center"/>
    </xf>
    <xf numFmtId="0" fontId="124" fillId="3" borderId="0" xfId="0" applyFont="1" applyFill="1" applyAlignment="1">
      <alignment horizontal="left" vertical="center"/>
    </xf>
    <xf numFmtId="0" fontId="52" fillId="0" borderId="0" xfId="0" applyFont="1" applyAlignment="1">
      <alignment vertical="center"/>
    </xf>
    <xf numFmtId="0" fontId="126" fillId="3" borderId="0" xfId="0" applyFont="1" applyFill="1" applyAlignment="1">
      <alignment horizontal="left" vertical="center"/>
    </xf>
    <xf numFmtId="0" fontId="127" fillId="0" borderId="0" xfId="0" applyFont="1"/>
    <xf numFmtId="0" fontId="34" fillId="15" borderId="1" xfId="0" applyFont="1" applyFill="1" applyBorder="1" applyAlignment="1">
      <alignment wrapText="1"/>
    </xf>
    <xf numFmtId="0" fontId="34" fillId="15" borderId="2" xfId="0" applyFont="1" applyFill="1" applyBorder="1" applyAlignment="1">
      <alignment wrapText="1"/>
    </xf>
    <xf numFmtId="0" fontId="38" fillId="15" borderId="3" xfId="0" applyFont="1" applyFill="1" applyBorder="1" applyAlignment="1">
      <alignment horizontal="left" wrapText="1"/>
    </xf>
    <xf numFmtId="0" fontId="32" fillId="15" borderId="4" xfId="0" applyFont="1" applyFill="1" applyBorder="1" applyAlignment="1">
      <alignment vertical="top" wrapText="1"/>
    </xf>
    <xf numFmtId="0" fontId="32" fillId="15" borderId="0" xfId="0" applyFont="1" applyFill="1" applyAlignment="1">
      <alignment vertical="top" wrapText="1"/>
    </xf>
    <xf numFmtId="0" fontId="68" fillId="15" borderId="0" xfId="0" applyFont="1" applyFill="1" applyBorder="1" applyAlignment="1">
      <alignment vertical="center"/>
    </xf>
    <xf numFmtId="0" fontId="52" fillId="15" borderId="0" xfId="0" applyFont="1" applyFill="1"/>
    <xf numFmtId="0" fontId="78" fillId="15" borderId="0" xfId="0" applyFont="1" applyFill="1"/>
    <xf numFmtId="0" fontId="42" fillId="15" borderId="6" xfId="0" applyFont="1" applyFill="1" applyBorder="1" applyAlignment="1">
      <alignment horizontal="left" vertical="center"/>
    </xf>
    <xf numFmtId="0" fontId="101" fillId="15" borderId="0" xfId="0" applyFont="1" applyFill="1" applyBorder="1" applyAlignment="1">
      <alignment horizontal="left" vertical="center"/>
    </xf>
    <xf numFmtId="0" fontId="123" fillId="15" borderId="0" xfId="0" applyFont="1" applyFill="1" applyBorder="1" applyAlignment="1">
      <alignment horizontal="left" vertical="center"/>
    </xf>
    <xf numFmtId="0" fontId="32" fillId="15" borderId="19" xfId="0" applyFont="1" applyFill="1" applyBorder="1" applyAlignment="1">
      <alignment horizontal="center" vertical="top" wrapText="1"/>
    </xf>
    <xf numFmtId="0" fontId="44" fillId="15" borderId="17" xfId="0" applyFont="1" applyFill="1" applyBorder="1" applyAlignment="1">
      <alignment horizontal="center" vertical="center" wrapText="1"/>
    </xf>
    <xf numFmtId="0" fontId="44" fillId="15" borderId="5" xfId="0" applyFont="1" applyFill="1" applyBorder="1" applyAlignment="1">
      <alignment horizontal="center" vertical="center" wrapText="1"/>
    </xf>
    <xf numFmtId="0" fontId="100" fillId="15" borderId="4" xfId="0" applyFont="1" applyFill="1" applyBorder="1" applyAlignment="1">
      <alignment vertical="top" wrapText="1"/>
    </xf>
    <xf numFmtId="0" fontId="127" fillId="15" borderId="0" xfId="0" applyFont="1" applyFill="1"/>
    <xf numFmtId="0" fontId="125" fillId="15" borderId="4" xfId="0" applyFont="1" applyFill="1" applyBorder="1" applyAlignment="1">
      <alignment vertical="center" wrapText="1"/>
    </xf>
    <xf numFmtId="0" fontId="52" fillId="15" borderId="0" xfId="0" applyFont="1" applyFill="1" applyAlignment="1">
      <alignment vertical="center"/>
    </xf>
    <xf numFmtId="0" fontId="0" fillId="15" borderId="0" xfId="0" applyFill="1"/>
    <xf numFmtId="0" fontId="32" fillId="15" borderId="0" xfId="0" applyFont="1" applyFill="1" applyBorder="1" applyAlignment="1">
      <alignment vertical="top" wrapText="1"/>
    </xf>
    <xf numFmtId="0" fontId="63" fillId="15" borderId="0" xfId="0" applyFont="1" applyFill="1" applyAlignment="1">
      <alignment horizontal="center" vertical="top"/>
    </xf>
    <xf numFmtId="0" fontId="63" fillId="15" borderId="0" xfId="0" applyFont="1" applyFill="1" applyAlignment="1">
      <alignment vertical="top" wrapText="1"/>
    </xf>
    <xf numFmtId="0" fontId="63" fillId="3" borderId="0" xfId="0" applyFont="1" applyFill="1" applyAlignment="1">
      <alignment vertical="center"/>
    </xf>
    <xf numFmtId="0" fontId="63" fillId="3" borderId="0" xfId="0" applyFont="1" applyFill="1" applyAlignment="1">
      <alignment horizontal="left" vertical="center" wrapText="1"/>
    </xf>
    <xf numFmtId="0" fontId="63" fillId="15" borderId="2" xfId="0" applyFont="1" applyFill="1" applyBorder="1" applyAlignment="1">
      <alignment horizontal="center" vertical="top"/>
    </xf>
    <xf numFmtId="0" fontId="63" fillId="15" borderId="2" xfId="0" applyFont="1" applyFill="1" applyBorder="1" applyAlignment="1">
      <alignment vertical="top" wrapText="1"/>
    </xf>
    <xf numFmtId="0" fontId="63" fillId="3" borderId="2" xfId="0" applyFont="1" applyFill="1" applyBorder="1" applyAlignment="1">
      <alignment vertical="center"/>
    </xf>
    <xf numFmtId="0" fontId="63" fillId="3" borderId="2" xfId="0" applyFont="1" applyFill="1" applyBorder="1" applyAlignment="1">
      <alignment horizontal="left" vertical="center" wrapText="1"/>
    </xf>
    <xf numFmtId="0" fontId="63" fillId="15" borderId="0" xfId="0" applyFont="1" applyFill="1" applyBorder="1" applyAlignment="1">
      <alignment horizontal="center" vertical="top"/>
    </xf>
    <xf numFmtId="0" fontId="63" fillId="15" borderId="0" xfId="0" applyFont="1" applyFill="1" applyBorder="1" applyAlignment="1">
      <alignment vertical="top" wrapText="1"/>
    </xf>
    <xf numFmtId="0" fontId="63" fillId="3" borderId="0" xfId="0" applyFont="1" applyFill="1" applyBorder="1" applyAlignment="1">
      <alignment vertical="center"/>
    </xf>
    <xf numFmtId="0" fontId="63" fillId="3" borderId="0" xfId="0" applyFont="1" applyFill="1" applyBorder="1" applyAlignment="1">
      <alignment horizontal="left" vertical="center" wrapText="1"/>
    </xf>
    <xf numFmtId="0" fontId="63" fillId="15" borderId="5" xfId="0" applyFont="1" applyFill="1" applyBorder="1" applyAlignment="1">
      <alignment horizontal="center" vertical="top"/>
    </xf>
    <xf numFmtId="0" fontId="63" fillId="15" borderId="5" xfId="0" applyFont="1" applyFill="1" applyBorder="1" applyAlignment="1">
      <alignment vertical="top" wrapText="1"/>
    </xf>
    <xf numFmtId="0" fontId="63" fillId="3" borderId="5" xfId="0" applyFont="1" applyFill="1" applyBorder="1" applyAlignment="1">
      <alignment vertical="center"/>
    </xf>
    <xf numFmtId="0" fontId="63" fillId="3" borderId="5" xfId="0" applyFont="1" applyFill="1" applyBorder="1" applyAlignment="1">
      <alignment horizontal="left" vertical="center" wrapText="1"/>
    </xf>
    <xf numFmtId="1" fontId="63" fillId="15" borderId="44" xfId="0" applyNumberFormat="1" applyFont="1" applyFill="1" applyBorder="1" applyAlignment="1">
      <alignment horizontal="center" vertical="center"/>
    </xf>
    <xf numFmtId="1" fontId="63" fillId="15" borderId="61" xfId="0" applyNumberFormat="1" applyFont="1" applyFill="1" applyBorder="1" applyAlignment="1">
      <alignment horizontal="center" vertical="center"/>
    </xf>
    <xf numFmtId="1" fontId="63" fillId="15" borderId="45" xfId="0" applyNumberFormat="1" applyFont="1" applyFill="1" applyBorder="1" applyAlignment="1">
      <alignment horizontal="center" vertical="center"/>
    </xf>
    <xf numFmtId="1" fontId="63" fillId="15" borderId="58" xfId="0" applyNumberFormat="1" applyFont="1" applyFill="1" applyBorder="1" applyAlignment="1">
      <alignment horizontal="center" vertical="center"/>
    </xf>
    <xf numFmtId="9" fontId="63" fillId="15" borderId="33" xfId="0" applyNumberFormat="1" applyFont="1" applyFill="1" applyBorder="1" applyAlignment="1">
      <alignment horizontal="center" vertical="center"/>
    </xf>
    <xf numFmtId="9" fontId="63" fillId="15" borderId="0" xfId="0" applyNumberFormat="1" applyFont="1" applyFill="1" applyBorder="1" applyAlignment="1">
      <alignment horizontal="center" vertical="center"/>
    </xf>
    <xf numFmtId="0" fontId="63" fillId="15" borderId="38" xfId="0" applyNumberFormat="1" applyFont="1" applyFill="1" applyBorder="1" applyAlignment="1">
      <alignment horizontal="center" vertical="center"/>
    </xf>
    <xf numFmtId="1" fontId="63" fillId="15" borderId="38" xfId="0" applyNumberFormat="1" applyFont="1" applyFill="1" applyBorder="1" applyAlignment="1">
      <alignment horizontal="center" vertical="center"/>
    </xf>
    <xf numFmtId="1" fontId="63" fillId="15" borderId="54" xfId="0" applyNumberFormat="1" applyFont="1" applyFill="1" applyBorder="1" applyAlignment="1">
      <alignment horizontal="center" vertical="center"/>
    </xf>
    <xf numFmtId="9" fontId="63" fillId="15" borderId="48" xfId="0" applyNumberFormat="1" applyFont="1" applyFill="1" applyBorder="1" applyAlignment="1">
      <alignment horizontal="center" vertical="center"/>
    </xf>
    <xf numFmtId="9" fontId="63" fillId="15" borderId="2" xfId="0" applyNumberFormat="1" applyFont="1" applyFill="1" applyBorder="1" applyAlignment="1">
      <alignment horizontal="center" vertical="center"/>
    </xf>
    <xf numFmtId="0" fontId="63" fillId="15" borderId="49" xfId="0" applyNumberFormat="1" applyFont="1" applyFill="1" applyBorder="1" applyAlignment="1">
      <alignment horizontal="center" vertical="center"/>
    </xf>
    <xf numFmtId="1" fontId="63" fillId="15" borderId="49" xfId="0" applyNumberFormat="1" applyFont="1" applyFill="1" applyBorder="1" applyAlignment="1">
      <alignment horizontal="center" vertical="center"/>
    </xf>
    <xf numFmtId="1" fontId="63" fillId="15" borderId="55" xfId="0" applyNumberFormat="1" applyFont="1" applyFill="1" applyBorder="1" applyAlignment="1">
      <alignment horizontal="center" vertical="center"/>
    </xf>
    <xf numFmtId="9" fontId="63" fillId="15" borderId="46" xfId="0" applyNumberFormat="1" applyFont="1" applyFill="1" applyBorder="1" applyAlignment="1">
      <alignment horizontal="center" vertical="center"/>
    </xf>
    <xf numFmtId="9" fontId="63" fillId="15" borderId="5" xfId="0" applyNumberFormat="1" applyFont="1" applyFill="1" applyBorder="1" applyAlignment="1">
      <alignment horizontal="center" vertical="center"/>
    </xf>
    <xf numFmtId="0" fontId="63" fillId="15" borderId="47" xfId="0" applyNumberFormat="1" applyFont="1" applyFill="1" applyBorder="1" applyAlignment="1">
      <alignment horizontal="center" vertical="center"/>
    </xf>
    <xf numFmtId="1" fontId="63" fillId="15" borderId="47" xfId="0" applyNumberFormat="1" applyFont="1" applyFill="1" applyBorder="1" applyAlignment="1">
      <alignment horizontal="center" vertical="center"/>
    </xf>
    <xf numFmtId="1" fontId="63" fillId="15" borderId="56" xfId="0" applyNumberFormat="1" applyFont="1" applyFill="1" applyBorder="1" applyAlignment="1">
      <alignment horizontal="center" vertical="center"/>
    </xf>
    <xf numFmtId="9" fontId="63" fillId="15" borderId="57" xfId="0" applyNumberFormat="1" applyFont="1" applyFill="1" applyBorder="1" applyAlignment="1">
      <alignment horizontal="center" vertical="center"/>
    </xf>
    <xf numFmtId="9" fontId="63" fillId="15" borderId="39" xfId="0" applyNumberFormat="1" applyFont="1" applyFill="1" applyBorder="1" applyAlignment="1">
      <alignment horizontal="center" vertical="center"/>
    </xf>
    <xf numFmtId="0" fontId="63" fillId="15" borderId="59" xfId="0" applyNumberFormat="1" applyFont="1" applyFill="1" applyBorder="1" applyAlignment="1">
      <alignment horizontal="center" vertical="center"/>
    </xf>
    <xf numFmtId="1" fontId="63" fillId="15" borderId="59" xfId="0" applyNumberFormat="1" applyFont="1" applyFill="1" applyBorder="1" applyAlignment="1">
      <alignment horizontal="center" vertical="center"/>
    </xf>
    <xf numFmtId="1" fontId="63" fillId="15" borderId="60" xfId="0" applyNumberFormat="1" applyFont="1" applyFill="1" applyBorder="1" applyAlignment="1">
      <alignment horizontal="center" vertical="center"/>
    </xf>
    <xf numFmtId="0" fontId="63" fillId="15" borderId="1" xfId="0" applyFont="1" applyFill="1" applyBorder="1" applyAlignment="1">
      <alignment horizontal="center" vertical="top"/>
    </xf>
    <xf numFmtId="0" fontId="63" fillId="15" borderId="4" xfId="0" applyFont="1" applyFill="1" applyBorder="1" applyAlignment="1">
      <alignment horizontal="center" vertical="top"/>
    </xf>
    <xf numFmtId="0" fontId="63" fillId="15" borderId="17" xfId="0" applyFont="1" applyFill="1" applyBorder="1" applyAlignment="1">
      <alignment horizontal="center" vertical="top"/>
    </xf>
    <xf numFmtId="0" fontId="112" fillId="6" borderId="31" xfId="0" applyFont="1" applyFill="1" applyBorder="1" applyAlignment="1">
      <alignment horizontal="left" vertical="center"/>
    </xf>
    <xf numFmtId="0" fontId="112" fillId="6" borderId="31" xfId="0" applyFont="1" applyFill="1" applyBorder="1" applyAlignment="1">
      <alignment horizontal="center" vertical="center"/>
    </xf>
    <xf numFmtId="0" fontId="13" fillId="0" borderId="0" xfId="0" applyFont="1" applyFill="1" applyBorder="1" applyAlignment="1">
      <alignment horizontal="center" vertical="top"/>
    </xf>
    <xf numFmtId="0" fontId="112" fillId="6" borderId="62" xfId="0" applyFont="1" applyFill="1" applyBorder="1" applyAlignment="1">
      <alignment horizontal="left" vertical="center"/>
    </xf>
    <xf numFmtId="0" fontId="112" fillId="6" borderId="63" xfId="0" applyFont="1" applyFill="1" applyBorder="1" applyAlignment="1">
      <alignment horizontal="left" vertical="center"/>
    </xf>
    <xf numFmtId="0" fontId="112" fillId="6" borderId="63" xfId="0" applyFont="1" applyFill="1" applyBorder="1" applyAlignment="1">
      <alignment horizontal="center" vertical="center"/>
    </xf>
    <xf numFmtId="0" fontId="112" fillId="6" borderId="64" xfId="0" applyFont="1" applyFill="1" applyBorder="1" applyAlignment="1">
      <alignment horizontal="center" vertical="center"/>
    </xf>
    <xf numFmtId="0" fontId="128" fillId="0" borderId="0" xfId="0" applyFont="1" applyAlignment="1">
      <alignment horizontal="left"/>
    </xf>
    <xf numFmtId="0" fontId="112" fillId="6" borderId="0" xfId="0" applyFont="1" applyFill="1" applyBorder="1" applyAlignment="1">
      <alignment vertical="center"/>
    </xf>
    <xf numFmtId="0" fontId="14" fillId="0" borderId="20" xfId="0" applyFont="1" applyFill="1" applyBorder="1" applyAlignment="1">
      <alignment horizontal="center" vertical="top"/>
    </xf>
    <xf numFmtId="0" fontId="14" fillId="0" borderId="0" xfId="0" applyFont="1" applyFill="1" applyBorder="1" applyAlignment="1">
      <alignment horizontal="center" vertical="top"/>
    </xf>
    <xf numFmtId="0" fontId="15" fillId="0" borderId="4" xfId="0" applyFont="1" applyBorder="1" applyAlignment="1">
      <alignment wrapText="1"/>
    </xf>
    <xf numFmtId="0" fontId="15" fillId="0" borderId="0" xfId="0" applyFont="1" applyBorder="1" applyAlignment="1">
      <alignment wrapText="1"/>
    </xf>
    <xf numFmtId="0" fontId="13" fillId="0" borderId="6" xfId="0" applyFont="1" applyFill="1" applyBorder="1" applyAlignment="1">
      <alignment horizontal="center" vertical="top"/>
    </xf>
    <xf numFmtId="0" fontId="129" fillId="0" borderId="0" xfId="0" applyFont="1" applyAlignment="1">
      <alignment horizontal="left" vertical="top" wrapText="1"/>
    </xf>
    <xf numFmtId="0" fontId="13" fillId="0" borderId="20" xfId="0" applyFont="1" applyFill="1" applyBorder="1" applyAlignment="1">
      <alignment horizontal="center" vertical="top"/>
    </xf>
    <xf numFmtId="0" fontId="112" fillId="6" borderId="4" xfId="0" applyFont="1" applyFill="1" applyBorder="1" applyAlignment="1">
      <alignment vertical="center"/>
    </xf>
    <xf numFmtId="0" fontId="13" fillId="0" borderId="0" xfId="0" applyFont="1" applyFill="1" applyBorder="1" applyAlignment="1">
      <alignment horizontal="left" vertical="top"/>
    </xf>
    <xf numFmtId="9" fontId="13" fillId="5" borderId="0" xfId="1" applyFont="1" applyFill="1" applyAlignment="1">
      <alignment horizontal="center"/>
    </xf>
    <xf numFmtId="0" fontId="112" fillId="6" borderId="17" xfId="0" applyFont="1" applyFill="1" applyBorder="1" applyAlignment="1">
      <alignment vertical="center"/>
    </xf>
    <xf numFmtId="0" fontId="14" fillId="0" borderId="5" xfId="0" applyFont="1" applyFill="1" applyBorder="1" applyAlignment="1">
      <alignment horizontal="center" vertical="top"/>
    </xf>
    <xf numFmtId="0" fontId="13" fillId="0" borderId="5" xfId="0" applyFont="1" applyFill="1" applyBorder="1" applyAlignment="1">
      <alignment horizontal="center" vertical="top"/>
    </xf>
    <xf numFmtId="0" fontId="13" fillId="0" borderId="19" xfId="0" applyFont="1" applyFill="1" applyBorder="1" applyAlignment="1">
      <alignment horizontal="center" vertical="top"/>
    </xf>
    <xf numFmtId="0" fontId="112" fillId="6" borderId="65" xfId="0" applyFont="1" applyFill="1" applyBorder="1" applyAlignment="1">
      <alignment horizontal="left" vertical="center"/>
    </xf>
    <xf numFmtId="0" fontId="112" fillId="6" borderId="62" xfId="0" applyFont="1" applyFill="1" applyBorder="1" applyAlignment="1">
      <alignment horizontal="center" vertical="center"/>
    </xf>
    <xf numFmtId="0" fontId="13" fillId="0" borderId="4" xfId="0" applyFont="1" applyFill="1" applyBorder="1" applyAlignment="1">
      <alignment horizontal="center" vertical="top"/>
    </xf>
    <xf numFmtId="9" fontId="13" fillId="2" borderId="0" xfId="1" applyFont="1" applyFill="1" applyAlignment="1">
      <alignment horizontal="center"/>
    </xf>
    <xf numFmtId="0" fontId="13" fillId="0" borderId="17" xfId="0" applyFont="1" applyFill="1" applyBorder="1" applyAlignment="1">
      <alignment horizontal="center" vertical="top"/>
    </xf>
    <xf numFmtId="9" fontId="13" fillId="0" borderId="0" xfId="1" applyFont="1" applyFill="1" applyBorder="1" applyAlignment="1">
      <alignment horizontal="center" vertical="top"/>
    </xf>
    <xf numFmtId="0" fontId="13" fillId="0" borderId="0" xfId="0" applyFont="1" applyAlignment="1">
      <alignment horizontal="center" vertical="center"/>
    </xf>
    <xf numFmtId="0" fontId="13" fillId="0" borderId="0" xfId="0" applyFont="1" applyAlignment="1">
      <alignment horizontal="left"/>
    </xf>
    <xf numFmtId="0" fontId="0" fillId="0" borderId="0" xfId="0" applyFont="1" applyAlignment="1">
      <alignment horizontal="left"/>
    </xf>
    <xf numFmtId="0" fontId="0" fillId="0" borderId="0" xfId="0" applyFill="1"/>
    <xf numFmtId="0" fontId="112" fillId="6" borderId="0" xfId="0" applyFont="1" applyFill="1" applyBorder="1" applyAlignment="1">
      <alignment horizontal="left" vertical="center"/>
    </xf>
    <xf numFmtId="0" fontId="14" fillId="0" borderId="0" xfId="0" applyFont="1" applyAlignment="1">
      <alignment horizontal="left" vertical="top"/>
    </xf>
    <xf numFmtId="0" fontId="63" fillId="0" borderId="0" xfId="0" applyFont="1" applyFill="1" applyAlignment="1">
      <alignment horizontal="center"/>
    </xf>
    <xf numFmtId="0" fontId="66" fillId="8" borderId="0" xfId="0" applyFont="1" applyFill="1" applyBorder="1" applyAlignment="1">
      <alignment horizontal="left" vertical="center"/>
    </xf>
    <xf numFmtId="9" fontId="64" fillId="3" borderId="50" xfId="0" applyNumberFormat="1" applyFont="1" applyFill="1" applyBorder="1" applyAlignment="1">
      <alignment horizontal="center" vertical="center" wrapText="1"/>
    </xf>
    <xf numFmtId="1" fontId="64" fillId="3" borderId="52" xfId="0" applyNumberFormat="1" applyFont="1" applyFill="1" applyBorder="1" applyAlignment="1">
      <alignment horizontal="center" vertical="center" wrapText="1"/>
    </xf>
    <xf numFmtId="0" fontId="64" fillId="3" borderId="21" xfId="0" applyFont="1" applyFill="1" applyBorder="1" applyAlignment="1">
      <alignment horizontal="center" vertical="center"/>
    </xf>
    <xf numFmtId="0" fontId="64" fillId="3" borderId="18" xfId="0" applyFont="1" applyFill="1" applyBorder="1" applyAlignment="1">
      <alignment horizontal="center" vertical="center" wrapText="1"/>
    </xf>
    <xf numFmtId="0" fontId="64" fillId="3" borderId="18" xfId="0" applyFont="1" applyFill="1" applyBorder="1" applyAlignment="1">
      <alignment vertical="center" wrapText="1"/>
    </xf>
    <xf numFmtId="0" fontId="80" fillId="0" borderId="0" xfId="0" applyFont="1" applyFill="1" applyBorder="1" applyAlignment="1">
      <alignment horizontal="left" vertical="top" wrapText="1"/>
    </xf>
    <xf numFmtId="0" fontId="80" fillId="0" borderId="0" xfId="0" applyFont="1" applyFill="1"/>
    <xf numFmtId="0" fontId="51" fillId="0" borderId="0" xfId="0" applyFont="1" applyAlignment="1">
      <alignment horizontal="left"/>
    </xf>
    <xf numFmtId="9" fontId="13" fillId="8" borderId="66" xfId="1" applyFont="1" applyFill="1" applyBorder="1" applyAlignment="1">
      <alignment horizontal="center" vertical="top"/>
    </xf>
    <xf numFmtId="0" fontId="95" fillId="0" borderId="0" xfId="0" applyFont="1" applyFill="1" applyAlignment="1">
      <alignment horizontal="center"/>
    </xf>
    <xf numFmtId="0" fontId="95" fillId="0" borderId="0" xfId="0" applyFont="1" applyFill="1"/>
    <xf numFmtId="0" fontId="51" fillId="0" borderId="0" xfId="0" applyFont="1" applyFill="1"/>
    <xf numFmtId="0" fontId="53" fillId="0" borderId="0" xfId="0" applyFont="1" applyFill="1" applyAlignment="1">
      <alignment horizontal="left"/>
    </xf>
    <xf numFmtId="0" fontId="53" fillId="0" borderId="0" xfId="0" applyFont="1" applyFill="1"/>
    <xf numFmtId="0" fontId="53" fillId="0" borderId="0" xfId="0" applyFont="1" applyFill="1" applyAlignment="1">
      <alignment horizontal="center"/>
    </xf>
    <xf numFmtId="0" fontId="14" fillId="0" borderId="0" xfId="0" applyFont="1" applyFill="1" applyAlignment="1">
      <alignment horizontal="left"/>
    </xf>
    <xf numFmtId="0" fontId="14" fillId="0" borderId="0" xfId="0" applyFont="1" applyFill="1"/>
    <xf numFmtId="9" fontId="13" fillId="0" borderId="0" xfId="1"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left"/>
    </xf>
    <xf numFmtId="0" fontId="14" fillId="0" borderId="0" xfId="0" applyFont="1" applyFill="1" applyAlignment="1">
      <alignment horizontal="left" vertical="top"/>
    </xf>
    <xf numFmtId="0" fontId="14" fillId="0" borderId="0" xfId="0" applyFont="1" applyFill="1" applyAlignment="1">
      <alignment vertical="top"/>
    </xf>
    <xf numFmtId="0" fontId="53" fillId="0" borderId="0" xfId="0" applyFont="1" applyFill="1" applyBorder="1" applyAlignment="1">
      <alignment horizontal="left" vertical="top"/>
    </xf>
    <xf numFmtId="0" fontId="14" fillId="0" borderId="0" xfId="0" applyFont="1" applyFill="1" applyBorder="1" applyAlignment="1">
      <alignment horizontal="left" vertical="top"/>
    </xf>
    <xf numFmtId="0" fontId="14" fillId="0" borderId="5" xfId="0" applyFont="1" applyFill="1" applyBorder="1" applyAlignment="1">
      <alignment horizontal="left" vertical="top"/>
    </xf>
    <xf numFmtId="0" fontId="15" fillId="0" borderId="0" xfId="0" applyFont="1" applyFill="1" applyAlignment="1">
      <alignment horizontal="center" vertical="center" wrapText="1"/>
    </xf>
    <xf numFmtId="0" fontId="13" fillId="0" borderId="0" xfId="0" applyFont="1" applyFill="1"/>
    <xf numFmtId="0" fontId="15" fillId="0" borderId="0" xfId="0" applyFont="1" applyFill="1" applyAlignment="1">
      <alignment wrapText="1"/>
    </xf>
    <xf numFmtId="0" fontId="112" fillId="6" borderId="64" xfId="0" applyFont="1" applyFill="1" applyBorder="1" applyAlignment="1">
      <alignment horizontal="left" vertical="center"/>
    </xf>
    <xf numFmtId="0" fontId="13" fillId="9" borderId="0" xfId="0" applyFont="1" applyFill="1" applyAlignment="1">
      <alignment horizontal="left"/>
    </xf>
    <xf numFmtId="0" fontId="15" fillId="9" borderId="0" xfId="0" applyFont="1" applyFill="1" applyAlignment="1">
      <alignment horizontal="left" wrapText="1"/>
    </xf>
    <xf numFmtId="0" fontId="15" fillId="9" borderId="0" xfId="0" applyFont="1" applyFill="1" applyAlignment="1">
      <alignment horizontal="left" vertical="top" wrapText="1"/>
    </xf>
    <xf numFmtId="0" fontId="69" fillId="0" borderId="0" xfId="0" applyFont="1" applyAlignment="1">
      <alignment horizontal="center" wrapText="1"/>
    </xf>
    <xf numFmtId="0" fontId="131" fillId="0" borderId="0" xfId="0" applyFont="1" applyAlignment="1">
      <alignment vertical="top" wrapText="1"/>
    </xf>
    <xf numFmtId="0" fontId="131" fillId="0" borderId="0" xfId="0" applyFont="1" applyAlignment="1">
      <alignment wrapText="1"/>
    </xf>
    <xf numFmtId="0" fontId="132" fillId="0" borderId="0" xfId="0" applyFont="1"/>
    <xf numFmtId="0" fontId="13" fillId="8" borderId="0" xfId="0" applyFont="1" applyFill="1" applyAlignment="1">
      <alignment horizontal="center"/>
    </xf>
    <xf numFmtId="0" fontId="15" fillId="0" borderId="0" xfId="0" applyFont="1" applyFill="1" applyAlignment="1">
      <alignment horizontal="left" vertical="center" wrapText="1"/>
    </xf>
    <xf numFmtId="0" fontId="15" fillId="0" borderId="0" xfId="0" applyFont="1" applyFill="1" applyAlignment="1">
      <alignment horizontal="left" wrapText="1"/>
    </xf>
    <xf numFmtId="0" fontId="13" fillId="0" borderId="0" xfId="0" applyFont="1" applyAlignment="1">
      <alignment horizontal="left" vertical="center"/>
    </xf>
    <xf numFmtId="0" fontId="62" fillId="6" borderId="0" xfId="0" applyFont="1" applyFill="1" applyBorder="1" applyAlignment="1">
      <alignment horizontal="left" vertical="center"/>
    </xf>
    <xf numFmtId="0" fontId="0" fillId="9" borderId="0" xfId="0" applyFill="1" applyAlignment="1">
      <alignment horizontal="left"/>
    </xf>
    <xf numFmtId="49" fontId="0" fillId="9" borderId="0" xfId="0" applyNumberFormat="1" applyFill="1" applyAlignment="1">
      <alignment horizontal="left"/>
    </xf>
    <xf numFmtId="0" fontId="0" fillId="9" borderId="0" xfId="0" applyFont="1" applyFill="1" applyAlignment="1">
      <alignment horizontal="left"/>
    </xf>
    <xf numFmtId="0" fontId="133" fillId="0" borderId="0" xfId="0" applyFont="1" applyFill="1"/>
    <xf numFmtId="0" fontId="18" fillId="3" borderId="0" xfId="0" applyFont="1" applyFill="1" applyAlignment="1" applyProtection="1">
      <alignment horizontal="left" vertical="center"/>
    </xf>
    <xf numFmtId="0" fontId="18" fillId="3" borderId="0" xfId="0" applyFont="1" applyFill="1" applyAlignment="1" applyProtection="1">
      <alignment horizontal="right" vertical="center"/>
    </xf>
    <xf numFmtId="0" fontId="18" fillId="3" borderId="0" xfId="0" applyFont="1" applyFill="1" applyAlignment="1" applyProtection="1">
      <alignment horizontal="center" vertical="center"/>
    </xf>
    <xf numFmtId="0" fontId="19" fillId="3" borderId="0" xfId="0" applyFont="1" applyFill="1" applyAlignment="1" applyProtection="1">
      <alignment horizontal="left" vertical="center"/>
    </xf>
    <xf numFmtId="0" fontId="15" fillId="0" borderId="0" xfId="0" applyFont="1" applyAlignment="1" applyProtection="1">
      <alignment horizontal="left" vertical="top" wrapText="1"/>
    </xf>
    <xf numFmtId="0" fontId="69" fillId="0" borderId="0" xfId="0" applyFont="1" applyAlignment="1" applyProtection="1">
      <alignment vertical="top" wrapText="1"/>
    </xf>
    <xf numFmtId="0" fontId="15" fillId="0" borderId="0" xfId="0" applyFont="1" applyAlignment="1" applyProtection="1">
      <alignment vertical="top" wrapText="1"/>
    </xf>
    <xf numFmtId="0" fontId="7" fillId="3" borderId="0" xfId="0" applyFont="1" applyFill="1" applyBorder="1" applyAlignment="1" applyProtection="1">
      <alignment horizontal="left"/>
    </xf>
    <xf numFmtId="0" fontId="10" fillId="0" borderId="1" xfId="0" applyFont="1" applyBorder="1" applyAlignment="1" applyProtection="1">
      <alignment wrapText="1"/>
    </xf>
    <xf numFmtId="0" fontId="10" fillId="0" borderId="2" xfId="0" applyFont="1" applyBorder="1" applyAlignment="1" applyProtection="1">
      <alignment horizontal="right" wrapText="1"/>
    </xf>
    <xf numFmtId="0" fontId="10" fillId="0" borderId="2" xfId="0" applyFont="1" applyBorder="1" applyAlignment="1" applyProtection="1">
      <alignment wrapText="1"/>
    </xf>
    <xf numFmtId="0" fontId="4" fillId="0" borderId="2" xfId="0" applyFont="1" applyFill="1" applyBorder="1" applyAlignment="1" applyProtection="1">
      <alignment horizontal="left"/>
    </xf>
    <xf numFmtId="0" fontId="4" fillId="0" borderId="2" xfId="0" applyFont="1" applyFill="1" applyBorder="1" applyAlignment="1" applyProtection="1">
      <alignment horizontal="center"/>
    </xf>
    <xf numFmtId="0" fontId="8" fillId="0" borderId="3" xfId="0" applyFont="1" applyFill="1" applyBorder="1" applyAlignment="1" applyProtection="1">
      <alignment horizontal="left" wrapText="1"/>
    </xf>
    <xf numFmtId="0" fontId="19" fillId="3" borderId="0" xfId="0" applyFont="1" applyFill="1" applyBorder="1" applyAlignment="1" applyProtection="1">
      <alignment horizontal="left" vertical="center"/>
    </xf>
    <xf numFmtId="0" fontId="10" fillId="0" borderId="0" xfId="0" applyFont="1" applyBorder="1" applyAlignment="1" applyProtection="1">
      <alignment horizontal="left" wrapText="1"/>
    </xf>
    <xf numFmtId="0" fontId="104" fillId="0" borderId="0" xfId="0" applyFont="1" applyBorder="1" applyAlignment="1" applyProtection="1">
      <alignment wrapText="1"/>
    </xf>
    <xf numFmtId="0" fontId="10" fillId="0" borderId="0" xfId="0" applyFont="1" applyBorder="1" applyAlignment="1" applyProtection="1">
      <alignment wrapText="1"/>
    </xf>
    <xf numFmtId="0" fontId="10" fillId="0" borderId="4" xfId="0" applyFont="1" applyBorder="1" applyAlignment="1" applyProtection="1">
      <alignment wrapText="1"/>
    </xf>
    <xf numFmtId="0" fontId="59" fillId="0" borderId="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60" fillId="0" borderId="0" xfId="0" applyFont="1" applyFill="1" applyBorder="1" applyAlignment="1" applyProtection="1">
      <alignment horizontal="center" vertical="center"/>
    </xf>
    <xf numFmtId="0" fontId="8" fillId="0" borderId="6" xfId="0" applyFont="1" applyFill="1" applyBorder="1" applyAlignment="1" applyProtection="1">
      <alignment horizontal="left" wrapText="1"/>
    </xf>
    <xf numFmtId="0" fontId="54" fillId="0" borderId="0" xfId="0" applyFont="1" applyFill="1" applyBorder="1" applyAlignment="1" applyProtection="1">
      <alignment horizontal="left"/>
    </xf>
    <xf numFmtId="0" fontId="47" fillId="0" borderId="0" xfId="0" applyFont="1" applyBorder="1" applyAlignment="1" applyProtection="1">
      <alignment vertical="center"/>
    </xf>
    <xf numFmtId="0" fontId="15" fillId="0" borderId="4" xfId="0" applyFont="1" applyBorder="1" applyAlignment="1" applyProtection="1">
      <alignment vertical="top" wrapText="1"/>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5" fillId="0" borderId="6" xfId="0" applyFont="1" applyFill="1" applyBorder="1" applyAlignment="1" applyProtection="1">
      <alignment horizontal="left" vertical="top" wrapText="1"/>
    </xf>
    <xf numFmtId="0" fontId="93"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xf>
    <xf numFmtId="0" fontId="60" fillId="0" borderId="0" xfId="0" applyFont="1" applyFill="1" applyBorder="1" applyAlignment="1" applyProtection="1">
      <alignment vertical="center"/>
    </xf>
    <xf numFmtId="0" fontId="93" fillId="0" borderId="0" xfId="0" applyFont="1" applyFill="1" applyBorder="1" applyAlignment="1" applyProtection="1">
      <alignment horizontal="left" vertical="center" wrapText="1"/>
    </xf>
    <xf numFmtId="0" fontId="9" fillId="3" borderId="0" xfId="0" applyFont="1" applyFill="1" applyAlignment="1" applyProtection="1">
      <alignment horizontal="left"/>
    </xf>
    <xf numFmtId="0" fontId="83" fillId="0" borderId="4" xfId="0" applyFont="1" applyBorder="1" applyAlignment="1" applyProtection="1">
      <alignment wrapText="1"/>
    </xf>
    <xf numFmtId="0" fontId="48" fillId="0" borderId="29" xfId="0" applyFont="1" applyFill="1" applyBorder="1" applyAlignment="1" applyProtection="1">
      <alignment horizontal="right"/>
    </xf>
    <xf numFmtId="0" fontId="56" fillId="0" borderId="29" xfId="0" applyFont="1" applyFill="1" applyBorder="1" applyAlignment="1" applyProtection="1">
      <alignment vertical="center"/>
    </xf>
    <xf numFmtId="0" fontId="57" fillId="0" borderId="29" xfId="0" applyFont="1" applyFill="1" applyBorder="1" applyAlignment="1" applyProtection="1"/>
    <xf numFmtId="0" fontId="57" fillId="0" borderId="29" xfId="0" applyFont="1" applyFill="1" applyBorder="1" applyAlignment="1" applyProtection="1">
      <alignment horizontal="center"/>
    </xf>
    <xf numFmtId="0" fontId="57" fillId="0" borderId="0" xfId="0" applyFont="1" applyFill="1" applyBorder="1" applyAlignment="1" applyProtection="1"/>
    <xf numFmtId="0" fontId="9" fillId="0" borderId="6" xfId="0" applyFont="1" applyFill="1" applyBorder="1" applyAlignment="1" applyProtection="1"/>
    <xf numFmtId="0" fontId="25" fillId="3" borderId="0" xfId="0" applyFont="1" applyFill="1" applyBorder="1" applyAlignment="1" applyProtection="1">
      <alignment horizontal="left" wrapText="1"/>
    </xf>
    <xf numFmtId="0" fontId="3" fillId="0" borderId="0" xfId="0" applyFont="1" applyAlignment="1" applyProtection="1">
      <alignment horizontal="left" wrapText="1"/>
    </xf>
    <xf numFmtId="0" fontId="118" fillId="0" borderId="0" xfId="0" applyFont="1" applyAlignment="1" applyProtection="1">
      <alignment wrapText="1"/>
    </xf>
    <xf numFmtId="0" fontId="3" fillId="0" borderId="0" xfId="0" applyFont="1" applyAlignment="1" applyProtection="1">
      <alignment wrapText="1"/>
    </xf>
    <xf numFmtId="0" fontId="9" fillId="3" borderId="0" xfId="0" applyFont="1" applyFill="1" applyAlignment="1" applyProtection="1">
      <alignment horizontal="left" vertical="center"/>
    </xf>
    <xf numFmtId="0" fontId="9" fillId="0" borderId="4" xfId="0" applyFont="1" applyFill="1" applyBorder="1" applyAlignment="1" applyProtection="1">
      <alignment horizontal="left" vertical="center"/>
    </xf>
    <xf numFmtId="0" fontId="86" fillId="0" borderId="6" xfId="0" applyFont="1" applyFill="1" applyBorder="1" applyAlignment="1" applyProtection="1">
      <alignment horizontal="left" vertical="top" wrapText="1"/>
    </xf>
    <xf numFmtId="0" fontId="25" fillId="3" borderId="0" xfId="0" applyFont="1" applyFill="1" applyBorder="1" applyAlignment="1" applyProtection="1">
      <alignment horizontal="left" vertical="center" wrapText="1"/>
    </xf>
    <xf numFmtId="0" fontId="17" fillId="3" borderId="0" xfId="0" applyFont="1" applyFill="1" applyAlignment="1" applyProtection="1">
      <alignment horizontal="left" vertical="center"/>
    </xf>
    <xf numFmtId="0" fontId="3" fillId="0" borderId="0" xfId="0" applyFont="1" applyAlignment="1" applyProtection="1">
      <alignment horizontal="left" vertical="top" wrapText="1"/>
    </xf>
    <xf numFmtId="0" fontId="118" fillId="0" borderId="0" xfId="0" applyFont="1" applyAlignment="1" applyProtection="1">
      <alignment vertical="top" wrapText="1"/>
    </xf>
    <xf numFmtId="0" fontId="3" fillId="0" borderId="0" xfId="0" applyFont="1" applyAlignment="1" applyProtection="1">
      <alignment vertical="top" wrapText="1"/>
    </xf>
    <xf numFmtId="0" fontId="114" fillId="0" borderId="4" xfId="0" applyFont="1" applyBorder="1" applyAlignment="1" applyProtection="1">
      <alignment horizontal="left" vertical="top"/>
    </xf>
    <xf numFmtId="0" fontId="3" fillId="0" borderId="0" xfId="0" applyFont="1" applyFill="1" applyBorder="1" applyAlignment="1" applyProtection="1">
      <alignment horizontal="right" vertical="center" wrapText="1"/>
    </xf>
    <xf numFmtId="0" fontId="9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6" xfId="0" applyFont="1" applyFill="1" applyBorder="1" applyAlignment="1" applyProtection="1">
      <alignment horizontal="left" vertical="top" wrapText="1"/>
    </xf>
    <xf numFmtId="0" fontId="83" fillId="0" borderId="0" xfId="0" applyFont="1" applyFill="1" applyBorder="1" applyAlignment="1" applyProtection="1">
      <alignment horizontal="center" vertical="center" wrapText="1"/>
    </xf>
    <xf numFmtId="0" fontId="3" fillId="0" borderId="0" xfId="0" applyFont="1" applyFill="1" applyAlignment="1" applyProtection="1">
      <alignment vertical="top" wrapText="1"/>
    </xf>
    <xf numFmtId="0" fontId="83" fillId="0" borderId="4" xfId="0" applyFont="1" applyFill="1" applyBorder="1" applyAlignment="1" applyProtection="1"/>
    <xf numFmtId="0" fontId="3" fillId="0" borderId="0" xfId="0" applyFont="1" applyFill="1" applyAlignment="1" applyProtection="1">
      <alignment horizontal="right" wrapText="1"/>
    </xf>
    <xf numFmtId="0" fontId="3" fillId="0" borderId="0" xfId="0" applyFont="1" applyFill="1" applyAlignment="1" applyProtection="1">
      <alignment wrapText="1"/>
    </xf>
    <xf numFmtId="0" fontId="57" fillId="0" borderId="0" xfId="0" applyFont="1" applyFill="1" applyBorder="1" applyAlignment="1" applyProtection="1">
      <alignment horizontal="right" vertical="center"/>
    </xf>
    <xf numFmtId="0" fontId="17" fillId="0" borderId="6" xfId="0" applyFont="1" applyFill="1" applyBorder="1" applyAlignment="1" applyProtection="1">
      <alignment horizontal="left" wrapText="1"/>
    </xf>
    <xf numFmtId="0" fontId="3" fillId="0" borderId="4" xfId="0" applyFont="1" applyBorder="1" applyAlignment="1" applyProtection="1">
      <alignment vertical="center"/>
    </xf>
    <xf numFmtId="0" fontId="57" fillId="0" borderId="0" xfId="0" applyFont="1" applyFill="1" applyBorder="1" applyAlignment="1" applyProtection="1">
      <alignment horizontal="left" vertical="center"/>
    </xf>
    <xf numFmtId="0" fontId="57" fillId="0" borderId="0" xfId="0" applyFont="1" applyFill="1" applyBorder="1" applyAlignment="1" applyProtection="1">
      <alignment vertical="center" wrapText="1"/>
    </xf>
    <xf numFmtId="0" fontId="57"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0" xfId="0" applyFont="1" applyAlignment="1" applyProtection="1">
      <alignment horizontal="left" vertical="center" wrapText="1"/>
    </xf>
    <xf numFmtId="0" fontId="118" fillId="0" borderId="0" xfId="0" applyFont="1" applyAlignment="1" applyProtection="1">
      <alignment vertical="center" wrapText="1"/>
    </xf>
    <xf numFmtId="0" fontId="3" fillId="0" borderId="0" xfId="0" applyFont="1" applyAlignment="1" applyProtection="1">
      <alignment vertical="center" wrapText="1"/>
    </xf>
    <xf numFmtId="0" fontId="83" fillId="0" borderId="4" xfId="0" applyFont="1" applyBorder="1" applyAlignment="1" applyProtection="1">
      <alignment vertical="center" wrapText="1"/>
    </xf>
    <xf numFmtId="0" fontId="24"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top" wrapText="1"/>
    </xf>
    <xf numFmtId="0" fontId="57"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95" fillId="0" borderId="0" xfId="0" applyFont="1" applyFill="1" applyBorder="1" applyAlignment="1" applyProtection="1">
      <alignment horizontal="left" vertical="top"/>
    </xf>
    <xf numFmtId="0" fontId="114" fillId="0" borderId="4" xfId="0" applyFont="1" applyBorder="1" applyAlignment="1" applyProtection="1">
      <alignment horizontal="left" vertical="center"/>
    </xf>
    <xf numFmtId="0" fontId="3" fillId="0" borderId="0" xfId="0" applyFont="1" applyFill="1" applyBorder="1" applyAlignment="1" applyProtection="1">
      <alignment horizontal="right" wrapText="1"/>
    </xf>
    <xf numFmtId="0" fontId="57" fillId="0" borderId="0" xfId="0" applyFont="1" applyBorder="1" applyAlignment="1" applyProtection="1"/>
    <xf numFmtId="0" fontId="77" fillId="0" borderId="0" xfId="0" applyFont="1" applyAlignment="1" applyProtection="1">
      <alignment horizontal="center"/>
    </xf>
    <xf numFmtId="0" fontId="3" fillId="0" borderId="0" xfId="0" applyFont="1" applyAlignment="1" applyProtection="1">
      <alignment horizontal="center" wrapText="1"/>
    </xf>
    <xf numFmtId="0" fontId="93" fillId="0" borderId="0" xfId="0" applyFont="1" applyFill="1" applyBorder="1" applyAlignment="1" applyProtection="1">
      <alignment horizontal="right" wrapText="1"/>
    </xf>
    <xf numFmtId="0" fontId="24" fillId="0" borderId="0" xfId="0" applyFont="1" applyFill="1" applyBorder="1" applyAlignment="1" applyProtection="1">
      <alignment horizontal="left" wrapText="1"/>
    </xf>
    <xf numFmtId="0" fontId="86" fillId="0" borderId="6" xfId="0" applyFont="1" applyFill="1" applyBorder="1" applyAlignment="1" applyProtection="1">
      <alignment horizontal="left" wrapText="1"/>
    </xf>
    <xf numFmtId="0" fontId="57" fillId="0" borderId="0" xfId="0" applyFont="1" applyBorder="1" applyAlignment="1" applyProtection="1">
      <alignment vertical="center"/>
    </xf>
    <xf numFmtId="0" fontId="93" fillId="0" borderId="0" xfId="0" applyFont="1" applyAlignment="1" applyProtection="1">
      <alignment vertical="center" wrapText="1"/>
    </xf>
    <xf numFmtId="0" fontId="3" fillId="0" borderId="0" xfId="0" applyFont="1" applyAlignment="1" applyProtection="1">
      <alignment horizontal="center" vertical="center" wrapText="1"/>
    </xf>
    <xf numFmtId="0" fontId="93" fillId="0" borderId="0" xfId="0" applyFont="1" applyFill="1" applyBorder="1" applyAlignment="1" applyProtection="1">
      <alignment horizontal="right" vertical="center" wrapText="1"/>
    </xf>
    <xf numFmtId="0" fontId="94" fillId="0" borderId="0" xfId="0" applyFont="1" applyFill="1" applyBorder="1" applyAlignment="1" applyProtection="1">
      <alignment horizontal="right" vertical="center" wrapText="1"/>
    </xf>
    <xf numFmtId="0" fontId="67" fillId="0" borderId="0" xfId="3" applyBorder="1" applyAlignment="1" applyProtection="1">
      <alignment vertical="center"/>
    </xf>
    <xf numFmtId="0" fontId="93"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114" fillId="0" borderId="6" xfId="0" applyFont="1" applyFill="1" applyBorder="1" applyAlignment="1" applyProtection="1">
      <alignment horizontal="left" vertical="center"/>
    </xf>
    <xf numFmtId="0" fontId="94" fillId="0" borderId="0" xfId="0" applyFont="1" applyFill="1" applyBorder="1" applyAlignment="1" applyProtection="1">
      <alignment horizontal="center" vertical="center"/>
    </xf>
    <xf numFmtId="0" fontId="93" fillId="0" borderId="0" xfId="0" applyFont="1" applyFill="1" applyBorder="1" applyAlignment="1" applyProtection="1">
      <alignment horizontal="left" vertical="center"/>
    </xf>
    <xf numFmtId="0" fontId="114" fillId="0" borderId="6" xfId="0" applyFont="1" applyFill="1" applyBorder="1" applyAlignment="1" applyProtection="1">
      <alignment horizontal="right" vertical="center"/>
    </xf>
    <xf numFmtId="0" fontId="83" fillId="0" borderId="0" xfId="0" applyFont="1" applyFill="1" applyBorder="1" applyAlignment="1" applyProtection="1"/>
    <xf numFmtId="0" fontId="93" fillId="0" borderId="0" xfId="0" applyFont="1" applyFill="1" applyBorder="1" applyAlignment="1" applyProtection="1">
      <alignment horizontal="center" wrapText="1"/>
    </xf>
    <xf numFmtId="0" fontId="93" fillId="0" borderId="0" xfId="0" applyFont="1" applyAlignment="1" applyProtection="1">
      <alignment wrapText="1"/>
    </xf>
    <xf numFmtId="0" fontId="93" fillId="0" borderId="0" xfId="0" applyFont="1" applyFill="1" applyBorder="1" applyAlignment="1" applyProtection="1">
      <alignment horizontal="left" wrapText="1"/>
    </xf>
    <xf numFmtId="0" fontId="114" fillId="0" borderId="6" xfId="0" applyFont="1" applyFill="1" applyBorder="1" applyAlignment="1" applyProtection="1">
      <alignment horizontal="left" vertical="top"/>
    </xf>
    <xf numFmtId="0" fontId="83" fillId="0" borderId="0" xfId="0" applyFont="1" applyBorder="1" applyAlignment="1" applyProtection="1"/>
    <xf numFmtId="0" fontId="93" fillId="0" borderId="0" xfId="0" applyFont="1" applyFill="1" applyBorder="1" applyAlignment="1" applyProtection="1">
      <alignment horizontal="left"/>
    </xf>
    <xf numFmtId="0" fontId="3" fillId="0" borderId="6" xfId="0" applyFont="1" applyBorder="1" applyAlignment="1" applyProtection="1">
      <alignment horizontal="center" wrapText="1"/>
    </xf>
    <xf numFmtId="0" fontId="25" fillId="3" borderId="0" xfId="0" applyFont="1" applyFill="1" applyBorder="1" applyAlignment="1" applyProtection="1">
      <alignment horizontal="left" vertical="top" wrapText="1"/>
    </xf>
    <xf numFmtId="0" fontId="93" fillId="0" borderId="0" xfId="0" applyFont="1" applyFill="1" applyBorder="1" applyAlignment="1" applyProtection="1">
      <alignment horizontal="center" vertical="top" wrapText="1"/>
    </xf>
    <xf numFmtId="0" fontId="57" fillId="0" borderId="0" xfId="0" applyFont="1" applyBorder="1" applyAlignment="1" applyProtection="1">
      <alignment vertical="top"/>
    </xf>
    <xf numFmtId="0" fontId="93" fillId="0" borderId="0" xfId="0" applyFont="1" applyAlignment="1" applyProtection="1">
      <alignment vertical="top" wrapText="1"/>
    </xf>
    <xf numFmtId="0" fontId="93" fillId="0" borderId="0" xfId="0" applyFont="1" applyFill="1" applyBorder="1" applyAlignment="1" applyProtection="1">
      <alignment horizontal="left" vertical="top" wrapText="1"/>
    </xf>
    <xf numFmtId="0" fontId="3" fillId="0" borderId="6" xfId="0" applyFont="1" applyBorder="1" applyAlignment="1" applyProtection="1">
      <alignment horizontal="center" vertical="top" wrapText="1"/>
    </xf>
    <xf numFmtId="0" fontId="67" fillId="0" borderId="0" xfId="3" applyFill="1" applyBorder="1" applyAlignment="1" applyProtection="1">
      <alignment horizontal="left" vertical="center"/>
    </xf>
    <xf numFmtId="0" fontId="75" fillId="0" borderId="0" xfId="0" applyFont="1" applyAlignment="1" applyProtection="1">
      <alignment horizontal="right" vertical="center" wrapText="1"/>
    </xf>
    <xf numFmtId="0" fontId="67" fillId="0" borderId="0" xfId="3"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xf>
    <xf numFmtId="0" fontId="93" fillId="0" borderId="0" xfId="0" applyFont="1" applyBorder="1" applyAlignment="1" applyProtection="1">
      <alignment horizontal="left" vertical="center"/>
    </xf>
    <xf numFmtId="0" fontId="106" fillId="0" borderId="0" xfId="0" applyFont="1" applyAlignment="1" applyProtection="1">
      <alignment horizontal="center" vertical="center" wrapText="1"/>
    </xf>
    <xf numFmtId="0" fontId="67" fillId="0" borderId="0" xfId="3" applyFill="1" applyAlignment="1" applyProtection="1">
      <alignment vertical="center"/>
    </xf>
    <xf numFmtId="0" fontId="67" fillId="0" borderId="0" xfId="3" applyFill="1" applyAlignment="1" applyProtection="1">
      <alignment horizontal="left" vertical="center" wrapText="1"/>
    </xf>
    <xf numFmtId="0" fontId="23" fillId="3" borderId="0" xfId="0" applyFont="1" applyFill="1" applyBorder="1" applyAlignment="1" applyProtection="1">
      <alignment horizontal="left" vertical="center" wrapText="1"/>
    </xf>
    <xf numFmtId="0" fontId="20" fillId="0" borderId="17" xfId="0" applyFont="1" applyBorder="1" applyAlignment="1" applyProtection="1">
      <alignment horizontal="center" vertical="center" wrapText="1"/>
    </xf>
    <xf numFmtId="0" fontId="22" fillId="0" borderId="5" xfId="0" applyFont="1" applyBorder="1" applyAlignment="1" applyProtection="1">
      <alignment horizontal="right" vertical="top" wrapText="1"/>
    </xf>
    <xf numFmtId="0" fontId="15" fillId="0" borderId="5" xfId="0" applyFont="1" applyBorder="1" applyAlignment="1" applyProtection="1">
      <alignment vertical="top" wrapText="1"/>
    </xf>
    <xf numFmtId="0" fontId="15" fillId="0" borderId="5" xfId="0" applyFont="1" applyBorder="1" applyAlignment="1" applyProtection="1">
      <alignment horizontal="center" vertical="top" wrapText="1"/>
    </xf>
    <xf numFmtId="0" fontId="15" fillId="0" borderId="5"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15" fillId="0" borderId="19" xfId="0" applyFont="1" applyBorder="1" applyAlignment="1" applyProtection="1">
      <alignment horizontal="center" vertical="top" wrapText="1"/>
    </xf>
    <xf numFmtId="0" fontId="23" fillId="3" borderId="0" xfId="0" applyFont="1" applyFill="1" applyBorder="1" applyAlignment="1" applyProtection="1">
      <alignment horizontal="right" vertical="center" wrapText="1"/>
    </xf>
    <xf numFmtId="0" fontId="23"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0" fillId="0" borderId="0" xfId="0" applyProtection="1"/>
    <xf numFmtId="0" fontId="0" fillId="0" borderId="0" xfId="0" applyAlignment="1" applyProtection="1">
      <alignment horizontal="right"/>
    </xf>
    <xf numFmtId="0" fontId="0" fillId="0" borderId="0" xfId="0" applyAlignment="1" applyProtection="1">
      <alignment horizontal="center"/>
    </xf>
    <xf numFmtId="0" fontId="115" fillId="0" borderId="0" xfId="0" applyFont="1" applyProtection="1"/>
    <xf numFmtId="0" fontId="4" fillId="0" borderId="20" xfId="0" applyFont="1" applyFill="1" applyBorder="1" applyAlignment="1" applyProtection="1">
      <alignment horizontal="left"/>
      <protection locked="0"/>
    </xf>
    <xf numFmtId="0" fontId="18" fillId="3" borderId="0" xfId="0" applyFont="1" applyFill="1" applyBorder="1" applyAlignment="1" applyProtection="1">
      <alignment horizontal="left" vertical="center"/>
    </xf>
    <xf numFmtId="0" fontId="18" fillId="3" borderId="0" xfId="0" applyFont="1" applyFill="1" applyBorder="1" applyAlignment="1" applyProtection="1">
      <alignment horizontal="center" vertical="center"/>
    </xf>
    <xf numFmtId="0" fontId="15" fillId="0" borderId="0" xfId="0" applyFont="1" applyAlignment="1" applyProtection="1">
      <alignment horizontal="left" vertical="top"/>
    </xf>
    <xf numFmtId="0" fontId="7" fillId="3" borderId="0" xfId="0" applyFont="1" applyFill="1" applyAlignment="1" applyProtection="1">
      <alignment horizontal="left"/>
    </xf>
    <xf numFmtId="0" fontId="59" fillId="0" borderId="2" xfId="0" applyFont="1" applyFill="1" applyBorder="1" applyAlignment="1" applyProtection="1">
      <alignment horizontal="left"/>
    </xf>
    <xf numFmtId="0" fontId="26" fillId="0" borderId="2" xfId="0" applyFont="1" applyBorder="1" applyAlignment="1" applyProtection="1"/>
    <xf numFmtId="0" fontId="26" fillId="0" borderId="2" xfId="0" applyFont="1" applyBorder="1" applyAlignment="1" applyProtection="1">
      <alignment horizontal="left"/>
    </xf>
    <xf numFmtId="0" fontId="4" fillId="3" borderId="0" xfId="0" applyFont="1" applyFill="1" applyBorder="1" applyAlignment="1" applyProtection="1">
      <alignment horizontal="left"/>
    </xf>
    <xf numFmtId="0" fontId="10" fillId="0" borderId="0" xfId="0" applyFont="1" applyAlignment="1" applyProtection="1">
      <alignment horizontal="left" wrapText="1"/>
    </xf>
    <xf numFmtId="0" fontId="10" fillId="0" borderId="0" xfId="0" applyFont="1" applyAlignment="1" applyProtection="1">
      <alignment horizontal="left"/>
    </xf>
    <xf numFmtId="0" fontId="10" fillId="0" borderId="0" xfId="0" applyFont="1" applyAlignment="1" applyProtection="1">
      <alignment wrapText="1"/>
    </xf>
    <xf numFmtId="0" fontId="28" fillId="0" borderId="0" xfId="0" applyFont="1" applyFill="1" applyBorder="1" applyAlignment="1" applyProtection="1">
      <alignment horizontal="left"/>
    </xf>
    <xf numFmtId="0" fontId="29" fillId="0" borderId="0" xfId="0" applyFont="1" applyBorder="1" applyAlignment="1" applyProtection="1">
      <alignment vertical="top" wrapText="1"/>
    </xf>
    <xf numFmtId="0" fontId="15" fillId="0" borderId="0" xfId="0" applyFont="1" applyBorder="1" applyAlignment="1" applyProtection="1">
      <alignment vertical="top" wrapText="1"/>
    </xf>
    <xf numFmtId="0" fontId="17"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top" wrapText="1"/>
    </xf>
    <xf numFmtId="0" fontId="19" fillId="3" borderId="0" xfId="0" applyFont="1" applyFill="1" applyBorder="1" applyAlignment="1" applyProtection="1">
      <alignment horizontal="left"/>
    </xf>
    <xf numFmtId="0" fontId="5" fillId="0" borderId="0" xfId="0" applyFont="1" applyBorder="1" applyAlignment="1" applyProtection="1">
      <alignment vertical="top" wrapText="1"/>
    </xf>
    <xf numFmtId="0" fontId="48" fillId="0" borderId="0" xfId="0" applyFont="1" applyFill="1" applyBorder="1" applyAlignment="1" applyProtection="1">
      <alignment horizontal="center" vertical="top" wrapText="1"/>
    </xf>
    <xf numFmtId="0" fontId="85" fillId="0" borderId="0" xfId="0" applyFont="1" applyFill="1" applyBorder="1" applyAlignment="1" applyProtection="1">
      <alignment horizontal="center" vertical="top" wrapText="1"/>
    </xf>
    <xf numFmtId="0" fontId="24"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57" fillId="0" borderId="0" xfId="0" applyFont="1" applyFill="1" applyBorder="1" applyAlignment="1" applyProtection="1">
      <alignment horizontal="center"/>
    </xf>
    <xf numFmtId="0" fontId="9" fillId="0" borderId="4" xfId="0" applyFont="1" applyFill="1" applyBorder="1" applyAlignment="1" applyProtection="1"/>
    <xf numFmtId="0" fontId="56" fillId="0" borderId="29" xfId="0" applyFont="1" applyFill="1" applyBorder="1" applyAlignment="1" applyProtection="1"/>
    <xf numFmtId="0" fontId="24" fillId="0" borderId="29" xfId="0" applyFont="1" applyFill="1" applyBorder="1" applyAlignment="1" applyProtection="1"/>
    <xf numFmtId="0" fontId="24" fillId="0" borderId="29" xfId="0" applyFont="1" applyBorder="1" applyAlignment="1" applyProtection="1">
      <alignment wrapText="1"/>
    </xf>
    <xf numFmtId="0" fontId="24" fillId="0" borderId="29" xfId="0" applyFont="1" applyBorder="1" applyAlignment="1" applyProtection="1">
      <alignment horizontal="left" wrapText="1"/>
    </xf>
    <xf numFmtId="0" fontId="3" fillId="0" borderId="6" xfId="0" applyFont="1" applyBorder="1" applyAlignment="1" applyProtection="1">
      <alignment wrapText="1"/>
    </xf>
    <xf numFmtId="0" fontId="9" fillId="3" borderId="0" xfId="0" applyFont="1" applyFill="1" applyBorder="1" applyAlignment="1" applyProtection="1">
      <alignment horizontal="left"/>
    </xf>
    <xf numFmtId="0" fontId="3" fillId="0" borderId="0" xfId="0" applyFont="1" applyAlignment="1" applyProtection="1">
      <alignment horizontal="left"/>
    </xf>
    <xf numFmtId="0" fontId="84" fillId="3" borderId="0" xfId="0" applyFont="1" applyFill="1" applyAlignment="1" applyProtection="1">
      <alignment horizontal="left" vertical="center"/>
    </xf>
    <xf numFmtId="0" fontId="84" fillId="0" borderId="4" xfId="0" applyFont="1" applyFill="1" applyBorder="1" applyAlignment="1" applyProtection="1">
      <alignment horizontal="left" vertical="center"/>
    </xf>
    <xf numFmtId="0" fontId="92" fillId="0" borderId="6" xfId="0" applyFont="1" applyFill="1" applyBorder="1" applyAlignment="1" applyProtection="1">
      <alignment horizontal="left" vertical="top" wrapText="1"/>
    </xf>
    <xf numFmtId="0" fontId="6" fillId="3" borderId="0" xfId="0" applyFont="1" applyFill="1" applyBorder="1" applyAlignment="1" applyProtection="1">
      <alignment horizontal="left"/>
    </xf>
    <xf numFmtId="0" fontId="70" fillId="0" borderId="0" xfId="0" applyFont="1" applyAlignment="1" applyProtection="1">
      <alignment horizontal="left" vertical="top" wrapText="1"/>
    </xf>
    <xf numFmtId="0" fontId="70" fillId="0" borderId="0" xfId="0" applyFont="1" applyAlignment="1" applyProtection="1">
      <alignment horizontal="left" vertical="top"/>
    </xf>
    <xf numFmtId="0" fontId="70" fillId="0" borderId="0" xfId="0" applyFont="1" applyAlignment="1" applyProtection="1">
      <alignment vertical="top" wrapText="1"/>
    </xf>
    <xf numFmtId="0" fontId="49" fillId="0" borderId="4" xfId="0" applyFont="1" applyFill="1" applyBorder="1" applyAlignment="1" applyProtection="1"/>
    <xf numFmtId="0" fontId="59" fillId="0" borderId="5" xfId="0" applyFont="1" applyFill="1" applyBorder="1" applyAlignment="1" applyProtection="1">
      <alignment vertical="center"/>
    </xf>
    <xf numFmtId="0" fontId="59" fillId="0" borderId="5" xfId="0" applyFont="1" applyFill="1" applyBorder="1" applyAlignment="1" applyProtection="1">
      <alignment horizontal="left" vertical="center" wrapText="1"/>
    </xf>
    <xf numFmtId="0" fontId="59" fillId="0" borderId="5" xfId="0" applyFont="1" applyFill="1" applyBorder="1" applyAlignment="1" applyProtection="1">
      <alignment horizontal="right" vertical="center"/>
    </xf>
    <xf numFmtId="0" fontId="59" fillId="0" borderId="5" xfId="0" applyFont="1" applyFill="1" applyBorder="1" applyAlignment="1" applyProtection="1">
      <alignment horizontal="left" vertical="center"/>
    </xf>
    <xf numFmtId="0" fontId="59"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left" wrapText="1"/>
    </xf>
    <xf numFmtId="0" fontId="84" fillId="3" borderId="0" xfId="0" applyFont="1" applyFill="1" applyAlignment="1" applyProtection="1">
      <alignment horizontal="left"/>
    </xf>
    <xf numFmtId="0" fontId="49" fillId="0" borderId="0" xfId="0" applyFont="1" applyAlignment="1" applyProtection="1">
      <alignment horizontal="left" wrapText="1"/>
    </xf>
    <xf numFmtId="0" fontId="49" fillId="0" borderId="0" xfId="0" applyFont="1" applyAlignment="1" applyProtection="1">
      <alignment horizontal="left"/>
    </xf>
    <xf numFmtId="0" fontId="49" fillId="0" borderId="0" xfId="0" applyFont="1" applyAlignment="1" applyProtection="1">
      <alignment wrapText="1"/>
    </xf>
    <xf numFmtId="0" fontId="59" fillId="0" borderId="0" xfId="0" applyFont="1" applyFill="1" applyBorder="1" applyAlignment="1" applyProtection="1">
      <alignment vertical="center"/>
    </xf>
    <xf numFmtId="0" fontId="59" fillId="0" borderId="0" xfId="0" applyFont="1" applyFill="1" applyBorder="1" applyAlignment="1" applyProtection="1">
      <alignment horizontal="left" vertical="center" wrapText="1"/>
    </xf>
    <xf numFmtId="0" fontId="59" fillId="0" borderId="0" xfId="0" applyFont="1" applyFill="1" applyBorder="1" applyAlignment="1" applyProtection="1">
      <alignment horizontal="right" vertical="center"/>
    </xf>
    <xf numFmtId="0" fontId="59"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wrapText="1"/>
    </xf>
    <xf numFmtId="0" fontId="70" fillId="0" borderId="12" xfId="0" applyFont="1" applyFill="1" applyBorder="1" applyAlignment="1" applyProtection="1">
      <alignment horizontal="center" vertical="center" wrapText="1"/>
    </xf>
    <xf numFmtId="0" fontId="70" fillId="0" borderId="13" xfId="0" applyFont="1" applyFill="1" applyBorder="1" applyAlignment="1" applyProtection="1">
      <alignment horizontal="center" vertical="center" wrapText="1"/>
    </xf>
    <xf numFmtId="0" fontId="87" fillId="0" borderId="6" xfId="0" applyFont="1" applyFill="1" applyBorder="1" applyAlignment="1" applyProtection="1">
      <alignment horizontal="left" vertical="center" wrapText="1"/>
    </xf>
    <xf numFmtId="0" fontId="70" fillId="0" borderId="0" xfId="0" applyFont="1" applyAlignment="1" applyProtection="1">
      <alignment horizontal="left" vertical="center" wrapText="1"/>
    </xf>
    <xf numFmtId="0" fontId="70" fillId="0" borderId="0" xfId="0" applyFont="1" applyFill="1" applyAlignment="1" applyProtection="1">
      <alignment horizontal="left" vertical="center"/>
    </xf>
    <xf numFmtId="0" fontId="70" fillId="0" borderId="0" xfId="0" applyFont="1" applyAlignment="1" applyProtection="1">
      <alignment horizontal="left" vertical="center"/>
    </xf>
    <xf numFmtId="0" fontId="6" fillId="0" borderId="0" xfId="0" applyFont="1" applyFill="1" applyBorder="1" applyAlignment="1" applyProtection="1">
      <alignment horizontal="center" vertical="center" wrapText="1"/>
    </xf>
    <xf numFmtId="0" fontId="70" fillId="0" borderId="0" xfId="0" applyFont="1" applyFill="1" applyBorder="1" applyAlignment="1" applyProtection="1">
      <alignment horizontal="center" vertical="center" wrapText="1"/>
    </xf>
    <xf numFmtId="0" fontId="49" fillId="0" borderId="0" xfId="0" applyFont="1" applyBorder="1" applyAlignment="1" applyProtection="1">
      <alignment horizontal="left" vertical="center" wrapText="1"/>
    </xf>
    <xf numFmtId="0" fontId="70" fillId="0" borderId="0" xfId="0" applyFont="1" applyBorder="1" applyAlignment="1" applyProtection="1">
      <alignment horizontal="left" vertical="center" wrapText="1"/>
    </xf>
    <xf numFmtId="0" fontId="77" fillId="0" borderId="0" xfId="0" applyFont="1" applyFill="1" applyBorder="1" applyAlignment="1" applyProtection="1">
      <alignment horizontal="left" vertical="center" wrapText="1"/>
    </xf>
    <xf numFmtId="0" fontId="70" fillId="0" borderId="12" xfId="0" applyFont="1" applyBorder="1" applyAlignment="1" applyProtection="1">
      <alignment horizontal="center" vertical="center" wrapText="1"/>
    </xf>
    <xf numFmtId="0" fontId="87" fillId="0" borderId="6" xfId="0" applyFont="1" applyBorder="1" applyAlignment="1" applyProtection="1">
      <alignment horizontal="left" vertical="center" wrapText="1"/>
    </xf>
    <xf numFmtId="0" fontId="82" fillId="0" borderId="20" xfId="0" applyFont="1" applyBorder="1" applyAlignment="1" applyProtection="1">
      <alignment horizontal="center" vertical="center" wrapText="1"/>
    </xf>
    <xf numFmtId="0" fontId="17" fillId="0" borderId="29" xfId="0" applyFont="1" applyFill="1" applyBorder="1" applyAlignment="1" applyProtection="1"/>
    <xf numFmtId="0" fontId="17" fillId="0" borderId="29" xfId="0" applyFont="1" applyFill="1" applyBorder="1" applyAlignment="1" applyProtection="1">
      <alignment horizontal="left"/>
    </xf>
    <xf numFmtId="0" fontId="61" fillId="0" borderId="12" xfId="0" applyFont="1" applyBorder="1" applyAlignment="1" applyProtection="1">
      <alignment horizontal="center" vertical="center" wrapText="1"/>
    </xf>
    <xf numFmtId="0" fontId="70" fillId="0" borderId="6" xfId="0" applyFont="1" applyBorder="1" applyAlignment="1" applyProtection="1">
      <alignment horizontal="center" vertical="center" wrapText="1"/>
    </xf>
    <xf numFmtId="0" fontId="70" fillId="0" borderId="0" xfId="0" applyFont="1" applyAlignment="1" applyProtection="1">
      <alignment vertical="center" wrapText="1"/>
    </xf>
    <xf numFmtId="0" fontId="49" fillId="0" borderId="4" xfId="0" applyFont="1" applyBorder="1" applyAlignment="1" applyProtection="1">
      <alignment horizontal="center" vertical="center" wrapText="1"/>
    </xf>
    <xf numFmtId="0" fontId="82"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77" fillId="0" borderId="0" xfId="0" applyFont="1" applyBorder="1" applyAlignment="1" applyProtection="1">
      <alignment horizontal="left" vertical="center" wrapText="1"/>
    </xf>
    <xf numFmtId="0" fontId="70" fillId="0" borderId="0" xfId="0" applyFont="1" applyAlignment="1" applyProtection="1">
      <alignment vertical="center"/>
    </xf>
    <xf numFmtId="0" fontId="20" fillId="0" borderId="5" xfId="0" applyFont="1" applyBorder="1" applyAlignment="1" applyProtection="1">
      <alignment horizontal="center" vertical="center" wrapText="1"/>
    </xf>
    <xf numFmtId="0" fontId="15" fillId="0" borderId="5" xfId="0" applyFont="1" applyBorder="1" applyAlignment="1" applyProtection="1">
      <alignment horizontal="left" vertical="top" wrapText="1"/>
    </xf>
    <xf numFmtId="0" fontId="22" fillId="0" borderId="0" xfId="0" applyFont="1" applyAlignment="1" applyProtection="1">
      <alignment horizontal="right" vertical="top" wrapText="1"/>
    </xf>
    <xf numFmtId="0" fontId="15" fillId="0" borderId="0" xfId="0" applyFont="1" applyBorder="1" applyAlignment="1" applyProtection="1">
      <alignment horizontal="center" vertical="center" wrapText="1"/>
    </xf>
    <xf numFmtId="0" fontId="15" fillId="0" borderId="0" xfId="0" applyFont="1" applyBorder="1" applyAlignment="1" applyProtection="1">
      <alignment horizontal="left" vertical="top" wrapText="1"/>
    </xf>
    <xf numFmtId="0" fontId="15" fillId="0" borderId="0" xfId="0" applyFont="1" applyAlignment="1" applyProtection="1">
      <alignment horizontal="center" vertical="top" wrapText="1"/>
    </xf>
    <xf numFmtId="0" fontId="5" fillId="0" borderId="0" xfId="0" applyFont="1" applyAlignment="1" applyProtection="1">
      <alignment horizontal="left" vertical="top" wrapText="1"/>
    </xf>
    <xf numFmtId="0" fontId="89" fillId="3" borderId="0" xfId="0" applyFont="1" applyFill="1" applyBorder="1" applyAlignment="1" applyProtection="1">
      <alignment horizontal="left" wrapText="1"/>
    </xf>
    <xf numFmtId="0" fontId="88" fillId="3" borderId="0" xfId="0" applyFont="1" applyFill="1" applyBorder="1" applyAlignment="1" applyProtection="1">
      <alignment horizontal="left" vertical="center" wrapText="1"/>
    </xf>
    <xf numFmtId="0" fontId="88" fillId="0" borderId="4" xfId="0" applyFont="1" applyFill="1" applyBorder="1" applyAlignment="1" applyProtection="1">
      <alignment horizontal="left" vertical="center" wrapText="1"/>
    </xf>
    <xf numFmtId="0" fontId="77" fillId="0" borderId="40" xfId="0" applyFont="1" applyFill="1" applyBorder="1" applyAlignment="1" applyProtection="1">
      <alignment horizontal="left" vertical="center" wrapText="1"/>
      <protection locked="0"/>
    </xf>
    <xf numFmtId="0" fontId="77" fillId="0" borderId="40" xfId="0" applyFont="1" applyBorder="1" applyAlignment="1" applyProtection="1">
      <alignment horizontal="left" vertical="center" wrapText="1"/>
      <protection locked="0"/>
    </xf>
    <xf numFmtId="0" fontId="60" fillId="3" borderId="0" xfId="0" applyFont="1" applyFill="1" applyAlignment="1" applyProtection="1">
      <alignment horizontal="left" vertical="center"/>
    </xf>
    <xf numFmtId="0" fontId="3" fillId="0" borderId="0" xfId="0" applyFont="1" applyAlignment="1" applyProtection="1">
      <alignment horizontal="left" vertical="top"/>
    </xf>
    <xf numFmtId="0" fontId="55" fillId="3" borderId="0" xfId="0" applyFont="1" applyFill="1" applyBorder="1" applyAlignment="1" applyProtection="1">
      <alignment horizontal="left"/>
    </xf>
    <xf numFmtId="0" fontId="60" fillId="3" borderId="0" xfId="0" applyFont="1" applyFill="1" applyBorder="1" applyAlignment="1" applyProtection="1">
      <alignment horizontal="left"/>
    </xf>
    <xf numFmtId="0" fontId="3" fillId="0" borderId="4" xfId="0" applyFont="1" applyBorder="1" applyAlignment="1" applyProtection="1">
      <alignment vertical="top" wrapText="1"/>
    </xf>
    <xf numFmtId="0" fontId="57" fillId="3" borderId="0" xfId="0" applyFont="1" applyFill="1" applyBorder="1" applyAlignment="1" applyProtection="1">
      <alignment horizontal="left"/>
    </xf>
    <xf numFmtId="0" fontId="3" fillId="0" borderId="0" xfId="0" applyFont="1" applyBorder="1" applyAlignment="1" applyProtection="1">
      <alignment vertical="top" wrapText="1"/>
    </xf>
    <xf numFmtId="0" fontId="18" fillId="3" borderId="0" xfId="0" applyFont="1" applyFill="1" applyAlignment="1" applyProtection="1">
      <alignment horizontal="left"/>
    </xf>
    <xf numFmtId="0" fontId="20" fillId="0" borderId="4" xfId="0" applyFont="1" applyFill="1" applyBorder="1" applyAlignment="1" applyProtection="1"/>
    <xf numFmtId="0" fontId="60" fillId="0" borderId="5" xfId="0" applyFont="1" applyFill="1" applyBorder="1" applyAlignment="1" applyProtection="1">
      <alignment vertical="center"/>
    </xf>
    <xf numFmtId="0" fontId="60" fillId="0" borderId="5" xfId="0" applyFont="1" applyFill="1" applyBorder="1" applyAlignment="1" applyProtection="1">
      <alignment horizontal="left" vertical="center" wrapText="1"/>
    </xf>
    <xf numFmtId="0" fontId="60" fillId="0" borderId="5" xfId="0" applyFont="1" applyFill="1" applyBorder="1" applyAlignment="1" applyProtection="1">
      <alignment horizontal="right" vertical="center"/>
    </xf>
    <xf numFmtId="0" fontId="60" fillId="0" borderId="5" xfId="0" applyFont="1" applyFill="1" applyBorder="1" applyAlignment="1" applyProtection="1">
      <alignment horizontal="left" vertical="center"/>
    </xf>
    <xf numFmtId="0" fontId="60" fillId="0" borderId="5" xfId="0" applyFont="1" applyFill="1" applyBorder="1" applyAlignment="1" applyProtection="1">
      <alignment horizontal="center" vertical="center" wrapText="1"/>
    </xf>
    <xf numFmtId="0" fontId="19" fillId="0" borderId="6" xfId="0" applyFont="1" applyFill="1" applyBorder="1" applyAlignment="1" applyProtection="1">
      <alignment horizontal="left" wrapText="1"/>
    </xf>
    <xf numFmtId="0" fontId="15" fillId="0" borderId="0" xfId="0" applyFont="1" applyAlignment="1" applyProtection="1">
      <alignment horizontal="left" wrapText="1"/>
    </xf>
    <xf numFmtId="0" fontId="15" fillId="0" borderId="0" xfId="0" applyFont="1" applyAlignment="1" applyProtection="1">
      <alignment wrapText="1"/>
    </xf>
    <xf numFmtId="0" fontId="59" fillId="3" borderId="0" xfId="0" applyFont="1" applyFill="1" applyBorder="1" applyAlignment="1" applyProtection="1">
      <alignment horizontal="left"/>
    </xf>
    <xf numFmtId="0" fontId="70" fillId="0" borderId="0" xfId="0" applyFont="1" applyAlignment="1" applyProtection="1">
      <alignment horizontal="left" wrapText="1"/>
    </xf>
    <xf numFmtId="0" fontId="70" fillId="0" borderId="0" xfId="0" applyFont="1" applyAlignment="1" applyProtection="1">
      <alignment wrapText="1"/>
    </xf>
    <xf numFmtId="0" fontId="3" fillId="0" borderId="0" xfId="0" applyFont="1" applyAlignment="1" applyProtection="1">
      <alignment horizontal="left" vertical="center"/>
    </xf>
    <xf numFmtId="0" fontId="84" fillId="3" borderId="0" xfId="0" applyFont="1" applyFill="1" applyBorder="1" applyAlignment="1" applyProtection="1">
      <alignment horizontal="left" vertical="center"/>
    </xf>
    <xf numFmtId="0" fontId="70" fillId="0" borderId="6" xfId="0" applyFont="1" applyFill="1" applyBorder="1" applyAlignment="1" applyProtection="1">
      <alignment horizontal="left" vertical="top" wrapText="1"/>
    </xf>
    <xf numFmtId="0" fontId="3" fillId="0" borderId="0" xfId="0" applyFont="1" applyBorder="1" applyAlignment="1" applyProtection="1">
      <alignment horizontal="left" vertical="center"/>
    </xf>
    <xf numFmtId="0" fontId="18" fillId="0" borderId="4" xfId="0" applyFont="1" applyFill="1" applyBorder="1" applyAlignment="1" applyProtection="1">
      <alignment horizontal="left" vertical="center"/>
    </xf>
    <xf numFmtId="0" fontId="22" fillId="0" borderId="6" xfId="0" applyFont="1" applyFill="1" applyBorder="1" applyAlignment="1" applyProtection="1">
      <alignment horizontal="left" vertical="top" wrapText="1"/>
    </xf>
    <xf numFmtId="0" fontId="90" fillId="3" borderId="0" xfId="0" applyFont="1" applyFill="1" applyBorder="1" applyAlignment="1" applyProtection="1">
      <alignment horizontal="left" wrapText="1"/>
    </xf>
    <xf numFmtId="0" fontId="20" fillId="0" borderId="0" xfId="0" applyFont="1" applyAlignment="1" applyProtection="1">
      <alignment horizontal="left" wrapText="1"/>
    </xf>
    <xf numFmtId="0" fontId="20" fillId="0" borderId="0" xfId="0" applyFont="1" applyAlignment="1" applyProtection="1">
      <alignment wrapText="1"/>
    </xf>
    <xf numFmtId="0" fontId="49" fillId="0" borderId="20" xfId="0" applyFont="1" applyBorder="1" applyAlignment="1" applyProtection="1">
      <alignment horizontal="center" vertical="center" wrapText="1"/>
    </xf>
    <xf numFmtId="0" fontId="59" fillId="0" borderId="12" xfId="0" applyFont="1" applyFill="1" applyBorder="1" applyAlignment="1" applyProtection="1">
      <alignment vertical="center"/>
    </xf>
    <xf numFmtId="0" fontId="59" fillId="0" borderId="13" xfId="0" applyFont="1" applyFill="1" applyBorder="1" applyAlignment="1" applyProtection="1">
      <alignment horizontal="left" vertical="center" wrapText="1"/>
    </xf>
    <xf numFmtId="0" fontId="59" fillId="0" borderId="13" xfId="0" applyFont="1" applyFill="1" applyBorder="1" applyAlignment="1" applyProtection="1">
      <alignment horizontal="right" vertical="center"/>
    </xf>
    <xf numFmtId="0" fontId="59" fillId="0" borderId="13" xfId="0" applyFont="1" applyFill="1" applyBorder="1" applyAlignment="1" applyProtection="1">
      <alignment horizontal="left" vertical="center"/>
    </xf>
    <xf numFmtId="0" fontId="59" fillId="0" borderId="13" xfId="0" applyFont="1" applyFill="1" applyBorder="1" applyAlignment="1" applyProtection="1">
      <alignment horizontal="center" vertical="center" wrapText="1"/>
    </xf>
    <xf numFmtId="0" fontId="59" fillId="0" borderId="40" xfId="0" applyFont="1" applyFill="1" applyBorder="1" applyAlignment="1" applyProtection="1">
      <alignment horizontal="left" vertical="center"/>
    </xf>
    <xf numFmtId="0" fontId="49" fillId="0" borderId="0" xfId="0" applyFont="1" applyBorder="1" applyAlignment="1" applyProtection="1">
      <alignment vertical="center" wrapText="1"/>
    </xf>
    <xf numFmtId="0" fontId="49" fillId="0" borderId="0" xfId="0" applyFont="1" applyBorder="1" applyAlignment="1" applyProtection="1">
      <alignment horizontal="center" vertical="center" wrapText="1"/>
    </xf>
    <xf numFmtId="0" fontId="23" fillId="0" borderId="4" xfId="0" applyFont="1" applyFill="1" applyBorder="1" applyAlignment="1" applyProtection="1">
      <alignment horizontal="left" vertical="center" wrapText="1"/>
    </xf>
    <xf numFmtId="0" fontId="83" fillId="0" borderId="0" xfId="0" applyFont="1" applyAlignment="1" applyProtection="1">
      <alignment horizontal="left"/>
    </xf>
    <xf numFmtId="0" fontId="11" fillId="3" borderId="0" xfId="0" applyFont="1" applyFill="1" applyBorder="1" applyAlignment="1" applyProtection="1">
      <alignment horizontal="left" wrapText="1"/>
    </xf>
    <xf numFmtId="0" fontId="8" fillId="0" borderId="4" xfId="0" applyFont="1" applyFill="1" applyBorder="1" applyAlignment="1" applyProtection="1"/>
    <xf numFmtId="0" fontId="55" fillId="0" borderId="0" xfId="0" applyFont="1" applyFill="1" applyBorder="1" applyAlignment="1" applyProtection="1">
      <alignment vertical="center"/>
    </xf>
    <xf numFmtId="0" fontId="55" fillId="0" borderId="0" xfId="0" applyFont="1" applyFill="1" applyBorder="1" applyAlignment="1" applyProtection="1">
      <alignment horizontal="left" vertical="center" wrapText="1"/>
    </xf>
    <xf numFmtId="0" fontId="55" fillId="0" borderId="0" xfId="0" applyFont="1" applyFill="1" applyBorder="1" applyAlignment="1" applyProtection="1">
      <alignment horizontal="right" vertical="center"/>
    </xf>
    <xf numFmtId="0" fontId="55" fillId="0" borderId="0" xfId="0" applyFont="1" applyFill="1" applyBorder="1" applyAlignment="1" applyProtection="1">
      <alignment horizontal="left" vertical="center"/>
    </xf>
    <xf numFmtId="0" fontId="55"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left" wrapText="1"/>
    </xf>
    <xf numFmtId="0" fontId="8" fillId="0" borderId="0" xfId="0" applyFont="1" applyAlignment="1" applyProtection="1">
      <alignment horizontal="left" wrapText="1"/>
    </xf>
    <xf numFmtId="0" fontId="8" fillId="0" borderId="0" xfId="0" applyFont="1" applyAlignment="1" applyProtection="1">
      <alignment wrapText="1"/>
    </xf>
    <xf numFmtId="0" fontId="55" fillId="0" borderId="12" xfId="0" applyFont="1" applyFill="1" applyBorder="1" applyAlignment="1" applyProtection="1">
      <alignment vertical="center"/>
    </xf>
    <xf numFmtId="0" fontId="55" fillId="0" borderId="13" xfId="0" applyFont="1" applyFill="1" applyBorder="1" applyAlignment="1" applyProtection="1">
      <alignment horizontal="left" vertical="center" wrapText="1"/>
    </xf>
    <xf numFmtId="0" fontId="55" fillId="0" borderId="13" xfId="0" applyFont="1" applyFill="1" applyBorder="1" applyAlignment="1" applyProtection="1">
      <alignment horizontal="right" vertical="center"/>
    </xf>
    <xf numFmtId="0" fontId="55" fillId="0" borderId="13" xfId="0" applyFont="1" applyFill="1" applyBorder="1" applyAlignment="1" applyProtection="1">
      <alignment horizontal="left" vertical="center"/>
    </xf>
    <xf numFmtId="0" fontId="55" fillId="0" borderId="13" xfId="0" applyFont="1" applyFill="1" applyBorder="1" applyAlignment="1" applyProtection="1">
      <alignment horizontal="center" vertical="center" wrapText="1"/>
    </xf>
    <xf numFmtId="0" fontId="55" fillId="0" borderId="40" xfId="0" applyFont="1" applyFill="1" applyBorder="1" applyAlignment="1" applyProtection="1">
      <alignment horizontal="left" vertical="center"/>
    </xf>
    <xf numFmtId="0" fontId="58" fillId="3" borderId="0" xfId="0" applyFont="1" applyFill="1" applyBorder="1" applyAlignment="1" applyProtection="1">
      <alignment horizontal="left" vertical="center" wrapText="1"/>
    </xf>
    <xf numFmtId="0" fontId="58" fillId="0" borderId="0" xfId="0" applyFont="1" applyAlignment="1" applyProtection="1">
      <alignment horizontal="left" vertical="top" wrapText="1"/>
    </xf>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center" vertical="center"/>
    </xf>
    <xf numFmtId="0" fontId="57" fillId="3" borderId="0" xfId="0" applyFont="1" applyFill="1" applyAlignment="1" applyProtection="1">
      <alignment horizontal="left" vertical="center"/>
    </xf>
    <xf numFmtId="0" fontId="3" fillId="0" borderId="1" xfId="0" applyFont="1" applyBorder="1" applyAlignment="1" applyProtection="1">
      <alignment wrapText="1"/>
    </xf>
    <xf numFmtId="0" fontId="57" fillId="0" borderId="2" xfId="0" applyFont="1" applyFill="1" applyBorder="1" applyAlignment="1" applyProtection="1">
      <alignment horizontal="left"/>
    </xf>
    <xf numFmtId="0" fontId="17" fillId="0" borderId="2" xfId="0" applyFont="1" applyFill="1" applyBorder="1" applyAlignment="1" applyProtection="1">
      <alignment horizontal="left"/>
    </xf>
    <xf numFmtId="0" fontId="24" fillId="0" borderId="2" xfId="0" applyFont="1" applyBorder="1" applyAlignment="1" applyProtection="1"/>
    <xf numFmtId="0" fontId="17" fillId="0" borderId="2" xfId="0" applyFont="1" applyFill="1" applyBorder="1" applyAlignment="1" applyProtection="1">
      <alignment horizontal="center"/>
    </xf>
    <xf numFmtId="0" fontId="24" fillId="0" borderId="2" xfId="0" applyFont="1" applyBorder="1" applyAlignment="1" applyProtection="1">
      <alignment horizontal="left"/>
    </xf>
    <xf numFmtId="0" fontId="83" fillId="0" borderId="3" xfId="0" applyFont="1" applyFill="1" applyBorder="1" applyAlignment="1" applyProtection="1">
      <alignment horizontal="left" wrapText="1"/>
    </xf>
    <xf numFmtId="0" fontId="98" fillId="3" borderId="0" xfId="0" applyFont="1" applyFill="1" applyAlignment="1" applyProtection="1">
      <alignment horizontal="left" vertical="center"/>
    </xf>
    <xf numFmtId="0" fontId="99" fillId="0" borderId="4" xfId="0" applyFont="1" applyBorder="1" applyAlignment="1" applyProtection="1">
      <alignment vertical="top" wrapText="1"/>
    </xf>
    <xf numFmtId="0" fontId="99" fillId="0" borderId="0" xfId="0" applyFont="1" applyAlignment="1" applyProtection="1">
      <alignment vertical="top" wrapText="1"/>
    </xf>
    <xf numFmtId="0" fontId="99" fillId="0" borderId="0" xfId="0" applyFont="1" applyBorder="1" applyAlignment="1" applyProtection="1">
      <alignment vertical="top" wrapText="1"/>
    </xf>
    <xf numFmtId="0" fontId="28" fillId="0" borderId="0" xfId="0" applyFont="1" applyFill="1" applyBorder="1" applyAlignment="1" applyProtection="1">
      <alignment horizontal="center" vertical="center"/>
    </xf>
    <xf numFmtId="0" fontId="99" fillId="0" borderId="0" xfId="0" applyFont="1" applyFill="1" applyBorder="1" applyAlignment="1" applyProtection="1">
      <alignment horizontal="left" vertical="top" wrapText="1"/>
    </xf>
    <xf numFmtId="0" fontId="99" fillId="0" borderId="6" xfId="0" applyFont="1" applyFill="1" applyBorder="1" applyAlignment="1" applyProtection="1">
      <alignment horizontal="left" vertical="top" wrapText="1"/>
    </xf>
    <xf numFmtId="0" fontId="54" fillId="3" borderId="0" xfId="0" applyFont="1" applyFill="1" applyBorder="1" applyAlignment="1" applyProtection="1">
      <alignment horizontal="left"/>
    </xf>
    <xf numFmtId="0" fontId="99" fillId="0" borderId="0" xfId="0" applyFont="1" applyAlignment="1" applyProtection="1">
      <alignment horizontal="left" vertical="top" wrapText="1"/>
    </xf>
    <xf numFmtId="0" fontId="24" fillId="0" borderId="0" xfId="0" applyFont="1" applyBorder="1" applyAlignment="1" applyProtection="1">
      <alignment vertical="top" wrapText="1"/>
    </xf>
    <xf numFmtId="0" fontId="17" fillId="0" borderId="0" xfId="0" applyFont="1" applyFill="1" applyBorder="1" applyAlignment="1" applyProtection="1">
      <alignment horizontal="left" vertical="center"/>
    </xf>
    <xf numFmtId="0" fontId="24" fillId="0" borderId="0" xfId="0" applyFont="1" applyFill="1" applyBorder="1" applyAlignment="1" applyProtection="1">
      <alignment horizontal="right"/>
    </xf>
    <xf numFmtId="0" fontId="3" fillId="0" borderId="0" xfId="0" applyFont="1" applyBorder="1" applyAlignment="1" applyProtection="1">
      <alignment horizontal="center" vertical="center" wrapText="1"/>
    </xf>
    <xf numFmtId="0" fontId="17" fillId="0" borderId="0" xfId="0" applyFont="1" applyFill="1" applyBorder="1" applyAlignment="1" applyProtection="1">
      <alignment horizontal="left"/>
    </xf>
    <xf numFmtId="0" fontId="17" fillId="0" borderId="0" xfId="0" applyFont="1" applyFill="1" applyBorder="1" applyAlignment="1" applyProtection="1">
      <alignment horizontal="right" vertical="center"/>
    </xf>
    <xf numFmtId="0" fontId="17" fillId="0" borderId="0" xfId="0" applyFont="1" applyFill="1" applyBorder="1" applyAlignment="1" applyProtection="1">
      <alignment horizontal="left" vertical="center" wrapText="1"/>
    </xf>
    <xf numFmtId="0" fontId="84" fillId="3" borderId="0" xfId="0" applyFont="1" applyFill="1" applyBorder="1" applyAlignment="1" applyProtection="1">
      <alignment horizontal="left"/>
    </xf>
    <xf numFmtId="0" fontId="6" fillId="0" borderId="4" xfId="0" applyFont="1" applyFill="1" applyBorder="1" applyAlignment="1" applyProtection="1">
      <alignment horizontal="center" vertical="center" wrapText="1"/>
    </xf>
    <xf numFmtId="0" fontId="70" fillId="0" borderId="0" xfId="0" applyFont="1" applyBorder="1" applyAlignment="1" applyProtection="1">
      <alignment horizontal="center" vertical="center" wrapText="1"/>
    </xf>
    <xf numFmtId="0" fontId="70" fillId="0" borderId="0" xfId="0" applyFont="1" applyFill="1" applyBorder="1" applyAlignment="1" applyProtection="1">
      <alignment horizontal="left" vertical="center" wrapText="1"/>
    </xf>
    <xf numFmtId="0" fontId="6" fillId="0" borderId="4"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88" fillId="3" borderId="0" xfId="0" applyFont="1" applyFill="1" applyBorder="1" applyAlignment="1" applyProtection="1">
      <alignment horizontal="left" wrapText="1"/>
    </xf>
    <xf numFmtId="0" fontId="83" fillId="0" borderId="17" xfId="0" applyFont="1" applyBorder="1" applyAlignment="1" applyProtection="1">
      <alignment horizontal="center" vertical="center" wrapText="1"/>
    </xf>
    <xf numFmtId="0" fontId="83" fillId="0" borderId="5" xfId="0" applyFont="1" applyBorder="1" applyAlignment="1" applyProtection="1">
      <alignment horizontal="center" vertical="center" wrapText="1"/>
    </xf>
    <xf numFmtId="0" fontId="86" fillId="0" borderId="5" xfId="0" applyFont="1" applyBorder="1" applyAlignment="1" applyProtection="1">
      <alignment horizontal="right" vertical="top" wrapText="1"/>
    </xf>
    <xf numFmtId="0" fontId="3" fillId="0" borderId="5" xfId="0" applyFont="1" applyBorder="1" applyAlignment="1" applyProtection="1">
      <alignment vertical="top" wrapText="1"/>
    </xf>
    <xf numFmtId="0" fontId="3" fillId="0" borderId="5" xfId="0" applyFont="1" applyBorder="1" applyAlignment="1" applyProtection="1">
      <alignment horizontal="center" vertical="center" wrapText="1"/>
    </xf>
    <xf numFmtId="0" fontId="96" fillId="0" borderId="5" xfId="0" applyFont="1" applyBorder="1" applyAlignment="1" applyProtection="1">
      <alignment horizontal="center" vertical="center" wrapText="1"/>
    </xf>
    <xf numFmtId="0" fontId="3" fillId="0" borderId="5" xfId="0" applyFont="1" applyBorder="1" applyAlignment="1" applyProtection="1">
      <alignment horizontal="left" vertical="top" wrapText="1"/>
    </xf>
    <xf numFmtId="0" fontId="3" fillId="0" borderId="19" xfId="0" applyFont="1" applyBorder="1" applyAlignment="1" applyProtection="1">
      <alignment horizontal="center" vertical="top" wrapText="1"/>
    </xf>
    <xf numFmtId="0" fontId="25" fillId="3" borderId="0" xfId="0" applyFont="1" applyFill="1" applyBorder="1" applyAlignment="1" applyProtection="1">
      <alignment horizontal="center" vertical="center" wrapText="1"/>
    </xf>
    <xf numFmtId="0" fontId="86" fillId="0" borderId="0" xfId="0" applyFont="1" applyAlignment="1" applyProtection="1">
      <alignment horizontal="right" vertical="top" wrapText="1"/>
    </xf>
    <xf numFmtId="0" fontId="3" fillId="0" borderId="0" xfId="0" applyFont="1" applyBorder="1" applyAlignment="1" applyProtection="1">
      <alignment horizontal="left" vertical="top" wrapText="1"/>
    </xf>
    <xf numFmtId="0" fontId="3" fillId="0" borderId="0" xfId="0" applyFont="1" applyAlignment="1" applyProtection="1">
      <alignment horizontal="center" vertical="top" wrapText="1"/>
    </xf>
    <xf numFmtId="0" fontId="93" fillId="0" borderId="0" xfId="0" applyFont="1" applyAlignment="1" applyProtection="1">
      <alignment horizontal="left" vertical="top" wrapText="1"/>
    </xf>
    <xf numFmtId="0" fontId="9" fillId="3" borderId="0" xfId="0" applyFont="1" applyFill="1" applyAlignment="1" applyProtection="1">
      <alignment horizontal="center" vertical="center"/>
    </xf>
    <xf numFmtId="0" fontId="24" fillId="0" borderId="0" xfId="0" applyFont="1" applyFill="1" applyBorder="1" applyAlignment="1" applyProtection="1">
      <alignment horizontal="left" vertical="top" wrapText="1"/>
    </xf>
    <xf numFmtId="0" fontId="57" fillId="0" borderId="0" xfId="0" applyFont="1" applyFill="1" applyBorder="1" applyAlignment="1" applyProtection="1">
      <alignment horizontal="left"/>
    </xf>
    <xf numFmtId="0" fontId="6" fillId="0" borderId="20" xfId="0" applyFont="1" applyFill="1" applyBorder="1" applyAlignment="1" applyProtection="1">
      <alignment horizontal="center" vertical="center" wrapText="1"/>
    </xf>
    <xf numFmtId="0" fontId="97" fillId="3" borderId="0" xfId="0" applyFont="1" applyFill="1" applyBorder="1" applyAlignment="1" applyProtection="1">
      <alignment horizontal="left" wrapText="1"/>
    </xf>
    <xf numFmtId="0" fontId="77" fillId="3" borderId="0" xfId="0" applyFont="1" applyFill="1" applyBorder="1" applyAlignment="1" applyProtection="1">
      <alignment horizontal="left" vertical="center" wrapText="1"/>
    </xf>
    <xf numFmtId="0" fontId="93" fillId="3" borderId="0" xfId="0" applyFont="1" applyFill="1" applyBorder="1" applyAlignment="1" applyProtection="1">
      <alignment horizontal="left" vertical="center" wrapText="1"/>
    </xf>
    <xf numFmtId="0" fontId="9" fillId="3" borderId="0" xfId="0" applyFont="1" applyFill="1" applyBorder="1" applyAlignment="1" applyProtection="1">
      <alignment vertical="center"/>
    </xf>
    <xf numFmtId="0" fontId="99"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17" fillId="0" borderId="0" xfId="0" applyFont="1" applyFill="1" applyBorder="1" applyAlignment="1" applyProtection="1">
      <alignment vertical="center" wrapText="1"/>
    </xf>
    <xf numFmtId="0" fontId="77" fillId="0" borderId="0" xfId="0" applyFont="1" applyFill="1" applyBorder="1" applyAlignment="1" applyProtection="1">
      <alignment vertical="center" wrapText="1"/>
    </xf>
    <xf numFmtId="0" fontId="77" fillId="0" borderId="0" xfId="0" applyFont="1" applyBorder="1" applyAlignment="1" applyProtection="1">
      <alignment vertical="center" wrapText="1"/>
    </xf>
    <xf numFmtId="0" fontId="57" fillId="0" borderId="41" xfId="0" applyFont="1" applyFill="1" applyBorder="1" applyAlignment="1" applyProtection="1"/>
    <xf numFmtId="0" fontId="17" fillId="0" borderId="41" xfId="0" applyFont="1" applyFill="1" applyBorder="1" applyAlignment="1" applyProtection="1"/>
    <xf numFmtId="0" fontId="25" fillId="3" borderId="0" xfId="0" applyFont="1" applyFill="1" applyBorder="1" applyAlignment="1" applyProtection="1">
      <alignment vertical="center" wrapText="1"/>
    </xf>
    <xf numFmtId="0" fontId="77" fillId="0" borderId="40" xfId="0" applyFont="1" applyBorder="1" applyAlignment="1" applyProtection="1">
      <alignment vertical="center" wrapText="1"/>
      <protection locked="0"/>
    </xf>
    <xf numFmtId="0" fontId="77" fillId="0" borderId="40" xfId="0" applyFont="1" applyFill="1" applyBorder="1" applyAlignment="1" applyProtection="1">
      <alignment vertical="center" wrapText="1"/>
      <protection locked="0"/>
    </xf>
    <xf numFmtId="0" fontId="110" fillId="0" borderId="2" xfId="0" applyFont="1" applyFill="1" applyBorder="1" applyAlignment="1" applyProtection="1">
      <alignment horizontal="left"/>
    </xf>
    <xf numFmtId="0" fontId="29" fillId="0" borderId="0"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0" fontId="27" fillId="0" borderId="30" xfId="0" applyFont="1" applyFill="1" applyBorder="1" applyAlignment="1" applyProtection="1"/>
    <xf numFmtId="0" fontId="17" fillId="0" borderId="30" xfId="0" applyFont="1" applyFill="1" applyBorder="1" applyAlignment="1" applyProtection="1">
      <alignment horizontal="left"/>
    </xf>
    <xf numFmtId="0" fontId="24" fillId="0" borderId="30" xfId="0" applyFont="1" applyFill="1" applyBorder="1" applyAlignment="1" applyProtection="1">
      <alignment horizontal="left"/>
    </xf>
    <xf numFmtId="0" fontId="24" fillId="0" borderId="30" xfId="0" applyFont="1" applyBorder="1" applyAlignment="1" applyProtection="1">
      <alignment horizontal="left" wrapText="1"/>
    </xf>
    <xf numFmtId="0" fontId="17" fillId="3" borderId="0" xfId="0" applyFont="1" applyFill="1" applyBorder="1" applyAlignment="1" applyProtection="1">
      <alignment horizontal="left"/>
    </xf>
    <xf numFmtId="0" fontId="77" fillId="0" borderId="5" xfId="0" applyFont="1" applyFill="1" applyBorder="1" applyAlignment="1" applyProtection="1">
      <alignment horizontal="center" vertical="center" wrapText="1"/>
    </xf>
    <xf numFmtId="0" fontId="111" fillId="0" borderId="5" xfId="0" applyFont="1" applyFill="1" applyBorder="1" applyAlignment="1" applyProtection="1">
      <alignment horizontal="center" vertical="center" wrapText="1"/>
    </xf>
    <xf numFmtId="0" fontId="48" fillId="0" borderId="4" xfId="0" applyFont="1" applyFill="1" applyBorder="1" applyAlignment="1" applyProtection="1"/>
    <xf numFmtId="0" fontId="59" fillId="0" borderId="25" xfId="0" applyFont="1" applyBorder="1" applyAlignment="1" applyProtection="1">
      <alignment horizontal="center" vertical="center" wrapText="1"/>
    </xf>
    <xf numFmtId="0" fontId="59" fillId="0" borderId="28" xfId="0" applyFont="1" applyBorder="1" applyAlignment="1" applyProtection="1">
      <alignment horizontal="center" vertical="center" wrapText="1"/>
    </xf>
    <xf numFmtId="0" fontId="50" fillId="0" borderId="0" xfId="0" applyFont="1" applyFill="1" applyBorder="1" applyAlignment="1" applyProtection="1"/>
    <xf numFmtId="0" fontId="27" fillId="0" borderId="0" xfId="0" applyFont="1" applyFill="1" applyBorder="1" applyAlignment="1" applyProtection="1"/>
    <xf numFmtId="0" fontId="24" fillId="0" borderId="0" xfId="0" applyFont="1" applyFill="1" applyBorder="1" applyAlignment="1" applyProtection="1">
      <alignment horizontal="left"/>
    </xf>
    <xf numFmtId="0" fontId="24" fillId="0" borderId="0" xfId="0" applyFont="1" applyBorder="1" applyAlignment="1" applyProtection="1">
      <alignment horizontal="left" wrapText="1"/>
    </xf>
    <xf numFmtId="0" fontId="15" fillId="0" borderId="5" xfId="0" applyFont="1" applyBorder="1" applyAlignment="1" applyProtection="1">
      <alignment horizontal="left" vertical="center" wrapText="1"/>
    </xf>
    <xf numFmtId="0" fontId="21" fillId="0" borderId="5" xfId="0" applyFont="1" applyBorder="1" applyAlignment="1" applyProtection="1">
      <alignment horizontal="left" vertical="center" wrapText="1"/>
    </xf>
    <xf numFmtId="0" fontId="5" fillId="3" borderId="0" xfId="0" applyFont="1" applyFill="1" applyBorder="1" applyAlignment="1" applyProtection="1">
      <alignment horizontal="center" vertical="top" wrapText="1"/>
    </xf>
    <xf numFmtId="0" fontId="15" fillId="0" borderId="0" xfId="0" applyFont="1" applyAlignment="1" applyProtection="1">
      <alignment horizontal="left" vertical="center" wrapText="1"/>
    </xf>
    <xf numFmtId="0" fontId="5" fillId="0" borderId="0" xfId="0" applyFont="1" applyAlignment="1" applyProtection="1">
      <alignment horizontal="center" vertical="top" wrapText="1"/>
    </xf>
    <xf numFmtId="0" fontId="70" fillId="0" borderId="25" xfId="0" applyFont="1" applyBorder="1" applyAlignment="1" applyProtection="1">
      <alignment vertical="center" wrapText="1"/>
      <protection locked="0"/>
    </xf>
    <xf numFmtId="0" fontId="70" fillId="0" borderId="24" xfId="0" applyFont="1" applyBorder="1" applyAlignment="1" applyProtection="1">
      <alignment vertical="center" wrapText="1"/>
      <protection locked="0"/>
    </xf>
    <xf numFmtId="0" fontId="70" fillId="0" borderId="27" xfId="0" applyFont="1" applyBorder="1" applyAlignment="1" applyProtection="1">
      <alignment vertical="center" wrapText="1"/>
      <protection locked="0"/>
    </xf>
    <xf numFmtId="0" fontId="26" fillId="0" borderId="3" xfId="0" applyFont="1" applyBorder="1" applyAlignment="1" applyProtection="1"/>
    <xf numFmtId="0" fontId="54" fillId="0" borderId="0" xfId="0" applyFont="1" applyFill="1" applyBorder="1" applyAlignment="1" applyProtection="1">
      <alignment horizontal="left" vertical="top"/>
    </xf>
    <xf numFmtId="0" fontId="15" fillId="0" borderId="4"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0" xfId="0" applyFont="1" applyFill="1" applyBorder="1" applyAlignment="1" applyProtection="1">
      <alignment vertical="top" wrapText="1"/>
    </xf>
    <xf numFmtId="0" fontId="3" fillId="0" borderId="6" xfId="0" applyFont="1" applyBorder="1" applyAlignment="1" applyProtection="1">
      <alignment vertical="center" wrapText="1"/>
    </xf>
    <xf numFmtId="0" fontId="15" fillId="0" borderId="0" xfId="0" applyFont="1" applyAlignment="1" applyProtection="1">
      <alignment vertical="center" wrapText="1"/>
    </xf>
    <xf numFmtId="0" fontId="65" fillId="0" borderId="0" xfId="0" applyFont="1" applyFill="1" applyBorder="1" applyAlignment="1" applyProtection="1">
      <alignment horizontal="left" vertical="center" wrapText="1"/>
    </xf>
    <xf numFmtId="0" fontId="3" fillId="0" borderId="1" xfId="0" applyFont="1" applyBorder="1" applyAlignment="1" applyProtection="1">
      <alignment vertical="center" wrapText="1"/>
    </xf>
    <xf numFmtId="0" fontId="15" fillId="0" borderId="2" xfId="0" applyFont="1" applyBorder="1" applyAlignment="1" applyProtection="1">
      <alignment vertical="center" wrapText="1"/>
    </xf>
    <xf numFmtId="0" fontId="3" fillId="0" borderId="3" xfId="0" applyFont="1" applyBorder="1" applyAlignment="1" applyProtection="1">
      <alignment vertical="center" wrapText="1"/>
    </xf>
    <xf numFmtId="0" fontId="9" fillId="0" borderId="0" xfId="0" applyFont="1" applyFill="1" applyBorder="1" applyAlignment="1" applyProtection="1"/>
    <xf numFmtId="0" fontId="3" fillId="0" borderId="4" xfId="0" applyFont="1" applyBorder="1" applyAlignment="1" applyProtection="1">
      <alignment wrapText="1"/>
    </xf>
    <xf numFmtId="0" fontId="105" fillId="0" borderId="0" xfId="0" applyFont="1" applyFill="1" applyBorder="1" applyAlignment="1" applyProtection="1"/>
    <xf numFmtId="0" fontId="65" fillId="0" borderId="0" xfId="0" applyFont="1" applyFill="1" applyAlignment="1" applyProtection="1">
      <alignment horizontal="left" vertical="center"/>
    </xf>
    <xf numFmtId="0" fontId="65" fillId="0" borderId="0" xfId="0" applyNumberFormat="1" applyFont="1" applyFill="1" applyAlignment="1" applyProtection="1">
      <alignment horizontal="left" vertical="center"/>
    </xf>
    <xf numFmtId="0" fontId="104" fillId="0" borderId="0" xfId="0" applyFont="1" applyFill="1" applyBorder="1" applyAlignment="1" applyProtection="1">
      <alignment vertical="top" wrapText="1"/>
    </xf>
    <xf numFmtId="0" fontId="48" fillId="0" borderId="0" xfId="0" applyFont="1" applyFill="1" applyBorder="1" applyAlignment="1" applyProtection="1"/>
    <xf numFmtId="0" fontId="16" fillId="6" borderId="42" xfId="0" applyFont="1" applyFill="1" applyBorder="1" applyAlignment="1" applyProtection="1">
      <alignment horizontal="left" vertical="top" wrapText="1"/>
    </xf>
    <xf numFmtId="49" fontId="60" fillId="0" borderId="0" xfId="0" applyNumberFormat="1" applyFont="1" applyFill="1" applyBorder="1" applyAlignment="1" applyProtection="1">
      <alignment horizontal="left" vertical="top" wrapText="1"/>
    </xf>
    <xf numFmtId="49" fontId="65" fillId="0" borderId="0" xfId="0" applyNumberFormat="1" applyFont="1" applyFill="1" applyBorder="1" applyAlignment="1" applyProtection="1">
      <alignment horizontal="left" vertical="center"/>
    </xf>
    <xf numFmtId="0" fontId="65" fillId="0" borderId="0" xfId="0" applyNumberFormat="1" applyFont="1" applyFill="1" applyBorder="1" applyAlignment="1" applyProtection="1">
      <alignment horizontal="center" vertical="center"/>
    </xf>
    <xf numFmtId="0" fontId="15" fillId="0" borderId="0" xfId="0" applyFont="1" applyFill="1" applyAlignment="1" applyProtection="1">
      <alignment vertical="top" wrapText="1"/>
    </xf>
    <xf numFmtId="0" fontId="3" fillId="0" borderId="17" xfId="0" applyFont="1" applyBorder="1" applyAlignment="1" applyProtection="1">
      <alignment wrapText="1"/>
    </xf>
    <xf numFmtId="0" fontId="5" fillId="0" borderId="5" xfId="0" applyFont="1" applyFill="1" applyBorder="1" applyAlignment="1" applyProtection="1">
      <alignment vertical="top" wrapText="1"/>
    </xf>
    <xf numFmtId="0" fontId="9" fillId="0" borderId="5" xfId="0" applyFont="1" applyFill="1" applyBorder="1" applyAlignment="1" applyProtection="1"/>
    <xf numFmtId="0" fontId="3" fillId="0" borderId="19" xfId="0" applyFont="1" applyBorder="1" applyAlignment="1" applyProtection="1">
      <alignment wrapText="1"/>
    </xf>
    <xf numFmtId="49" fontId="69" fillId="0" borderId="0" xfId="0" applyNumberFormat="1" applyFont="1" applyFill="1" applyBorder="1" applyAlignment="1" applyProtection="1">
      <alignment horizontal="left" vertical="center"/>
    </xf>
    <xf numFmtId="0" fontId="69" fillId="0" borderId="0" xfId="0" applyNumberFormat="1"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0" fontId="130" fillId="0" borderId="0" xfId="0" applyNumberFormat="1" applyFont="1" applyFill="1" applyBorder="1" applyAlignment="1" applyProtection="1">
      <alignment horizontal="center" vertical="center"/>
    </xf>
    <xf numFmtId="0" fontId="9" fillId="0" borderId="17" xfId="0" applyFont="1" applyFill="1" applyBorder="1" applyAlignment="1" applyProtection="1"/>
    <xf numFmtId="0" fontId="16" fillId="6" borderId="0" xfId="0" applyFont="1" applyFill="1" applyBorder="1" applyAlignment="1" applyProtection="1">
      <alignment horizontal="center" vertical="top" wrapText="1"/>
    </xf>
    <xf numFmtId="9" fontId="15" fillId="0" borderId="68" xfId="1" applyFont="1" applyFill="1" applyBorder="1" applyAlignment="1" applyProtection="1">
      <alignment horizontal="center" vertical="top" wrapText="1"/>
      <protection locked="0"/>
    </xf>
    <xf numFmtId="0" fontId="15" fillId="0" borderId="68" xfId="0" applyFont="1" applyFill="1" applyBorder="1" applyAlignment="1" applyProtection="1">
      <alignment horizontal="center" vertical="top" wrapText="1"/>
      <protection locked="0"/>
    </xf>
    <xf numFmtId="0" fontId="15" fillId="5" borderId="67" xfId="0" applyFont="1" applyFill="1" applyBorder="1" applyAlignment="1" applyProtection="1">
      <alignment horizontal="center" vertical="top" wrapText="1"/>
      <protection locked="0"/>
    </xf>
    <xf numFmtId="0" fontId="15" fillId="5" borderId="68" xfId="0" applyFont="1" applyFill="1" applyBorder="1" applyAlignment="1" applyProtection="1">
      <alignment horizontal="center" vertical="top" wrapText="1"/>
      <protection locked="0"/>
    </xf>
    <xf numFmtId="0" fontId="15" fillId="5" borderId="69" xfId="0" applyFont="1" applyFill="1" applyBorder="1" applyAlignment="1" applyProtection="1">
      <alignment horizontal="center" vertical="top" wrapText="1"/>
      <protection locked="0"/>
    </xf>
    <xf numFmtId="9" fontId="15" fillId="5" borderId="67" xfId="1" applyFont="1" applyFill="1" applyBorder="1" applyAlignment="1" applyProtection="1">
      <alignment horizontal="center" vertical="top" wrapText="1"/>
      <protection locked="0"/>
    </xf>
    <xf numFmtId="9" fontId="15" fillId="5" borderId="68" xfId="1" applyFont="1" applyFill="1" applyBorder="1" applyAlignment="1" applyProtection="1">
      <alignment horizontal="center" vertical="top" wrapText="1"/>
      <protection locked="0"/>
    </xf>
    <xf numFmtId="9" fontId="15" fillId="5" borderId="69" xfId="1" applyFont="1" applyFill="1" applyBorder="1" applyAlignment="1" applyProtection="1">
      <alignment horizontal="center" vertical="top" wrapText="1"/>
      <protection locked="0"/>
    </xf>
    <xf numFmtId="0" fontId="16" fillId="7" borderId="0" xfId="0" applyFont="1" applyFill="1" applyBorder="1" applyAlignment="1" applyProtection="1">
      <alignment horizontal="left" vertical="center"/>
      <protection locked="0"/>
    </xf>
    <xf numFmtId="0" fontId="16" fillId="7"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49" fillId="0" borderId="4" xfId="0" applyFont="1" applyBorder="1" applyAlignment="1" applyProtection="1">
      <alignment horizontal="center" vertical="center" wrapText="1"/>
    </xf>
    <xf numFmtId="0" fontId="49" fillId="0" borderId="20" xfId="0" applyFont="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59" fillId="0" borderId="13" xfId="0" applyFont="1" applyFill="1" applyBorder="1" applyAlignment="1" applyProtection="1">
      <alignment horizontal="left" vertical="center" wrapText="1"/>
    </xf>
    <xf numFmtId="0" fontId="134" fillId="0" borderId="0" xfId="0" applyFont="1" applyFill="1" applyBorder="1" applyAlignment="1">
      <alignment vertical="top" wrapText="1"/>
    </xf>
    <xf numFmtId="0" fontId="65" fillId="0" borderId="0" xfId="0" applyFont="1" applyFill="1" applyBorder="1" applyAlignment="1" applyProtection="1">
      <alignment horizontal="left" vertical="top" wrapText="1"/>
    </xf>
    <xf numFmtId="0" fontId="103"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9" borderId="70" xfId="0" applyFont="1" applyFill="1" applyBorder="1" applyAlignment="1" applyProtection="1">
      <alignment horizontal="center" vertical="center"/>
      <protection locked="0"/>
    </xf>
    <xf numFmtId="49" fontId="69" fillId="0" borderId="33" xfId="0" applyNumberFormat="1" applyFont="1" applyBorder="1" applyAlignment="1">
      <alignment horizontal="left" vertical="center"/>
    </xf>
    <xf numFmtId="49" fontId="69" fillId="16" borderId="33" xfId="0" applyNumberFormat="1" applyFont="1" applyFill="1" applyBorder="1" applyAlignment="1">
      <alignment horizontal="left" vertical="center"/>
    </xf>
    <xf numFmtId="0" fontId="60" fillId="0" borderId="71" xfId="0" applyFont="1" applyFill="1" applyBorder="1" applyAlignment="1" applyProtection="1">
      <alignment horizontal="center" vertical="center"/>
    </xf>
    <xf numFmtId="0" fontId="60" fillId="0" borderId="35" xfId="0" applyFont="1" applyFill="1" applyBorder="1" applyAlignment="1" applyProtection="1">
      <alignment horizontal="center" vertical="center"/>
    </xf>
    <xf numFmtId="0" fontId="24" fillId="0" borderId="21" xfId="0" applyFont="1" applyFill="1" applyBorder="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4" fillId="0" borderId="22" xfId="0" applyFont="1" applyFill="1" applyBorder="1" applyAlignment="1" applyProtection="1">
      <alignment horizontal="left" vertical="center" wrapText="1"/>
      <protection locked="0"/>
    </xf>
    <xf numFmtId="0" fontId="93" fillId="0" borderId="0" xfId="0" applyFont="1" applyFill="1" applyBorder="1" applyAlignment="1" applyProtection="1">
      <alignment horizontal="left" vertical="center" wrapText="1"/>
    </xf>
    <xf numFmtId="0" fontId="67" fillId="0" borderId="0" xfId="3" applyFont="1" applyFill="1" applyBorder="1" applyAlignment="1" applyProtection="1">
      <alignment horizontal="left" vertical="center"/>
    </xf>
    <xf numFmtId="0" fontId="93" fillId="0" borderId="0" xfId="0" applyFont="1" applyFill="1" applyBorder="1" applyAlignment="1" applyProtection="1">
      <alignment horizontal="left" vertical="center"/>
    </xf>
    <xf numFmtId="0" fontId="3" fillId="0" borderId="13" xfId="0" applyFont="1" applyFill="1" applyBorder="1" applyAlignment="1" applyProtection="1">
      <alignment horizontal="left" vertical="center" wrapText="1"/>
      <protection locked="0"/>
    </xf>
    <xf numFmtId="0" fontId="95" fillId="0" borderId="0" xfId="0" applyFont="1" applyFill="1" applyBorder="1" applyAlignment="1" applyProtection="1">
      <alignment horizontal="left" vertical="center"/>
      <protection locked="0"/>
    </xf>
    <xf numFmtId="0" fontId="93" fillId="0" borderId="32" xfId="0" applyFont="1" applyFill="1" applyBorder="1" applyAlignment="1" applyProtection="1">
      <alignment horizontal="left" vertical="center" wrapText="1"/>
    </xf>
    <xf numFmtId="0" fontId="67" fillId="0" borderId="0" xfId="3" applyFont="1" applyBorder="1" applyAlignment="1" applyProtection="1">
      <alignment horizontal="left" vertical="center"/>
    </xf>
    <xf numFmtId="0" fontId="93" fillId="0" borderId="0" xfId="0" applyFont="1" applyBorder="1" applyAlignment="1" applyProtection="1">
      <alignment horizontal="left" vertical="center"/>
    </xf>
    <xf numFmtId="0" fontId="3" fillId="0" borderId="10" xfId="0" applyFont="1" applyFill="1" applyBorder="1" applyAlignment="1" applyProtection="1">
      <alignment horizontal="left" vertical="center" wrapText="1"/>
      <protection locked="0"/>
    </xf>
    <xf numFmtId="0" fontId="67" fillId="0" borderId="0" xfId="3" applyFill="1" applyAlignment="1" applyProtection="1">
      <alignment horizontal="left" vertical="center"/>
    </xf>
    <xf numFmtId="0" fontId="67" fillId="0" borderId="0" xfId="3" applyFill="1" applyAlignment="1" applyProtection="1">
      <alignment horizontal="center" vertical="center" wrapText="1"/>
    </xf>
    <xf numFmtId="0" fontId="67" fillId="0" borderId="0" xfId="3" applyFill="1" applyBorder="1" applyAlignment="1" applyProtection="1">
      <alignment horizontal="left" vertical="center" wrapText="1"/>
    </xf>
    <xf numFmtId="0" fontId="67" fillId="0" borderId="0" xfId="3" applyFill="1" applyBorder="1" applyAlignment="1" applyProtection="1">
      <alignment horizontal="left" vertical="center"/>
    </xf>
    <xf numFmtId="0" fontId="49" fillId="0" borderId="4" xfId="0" applyFont="1" applyBorder="1" applyAlignment="1" applyProtection="1">
      <alignment horizontal="center" vertical="center" wrapText="1"/>
    </xf>
    <xf numFmtId="0" fontId="70" fillId="0" borderId="13" xfId="0" applyFont="1" applyBorder="1" applyAlignment="1" applyProtection="1">
      <alignment horizontal="left" vertical="center" wrapText="1"/>
    </xf>
    <xf numFmtId="0" fontId="82" fillId="0" borderId="7" xfId="0" applyFont="1" applyBorder="1" applyAlignment="1" applyProtection="1">
      <alignment horizontal="center" vertical="center" wrapText="1"/>
    </xf>
    <xf numFmtId="0" fontId="82" fillId="0" borderId="9" xfId="0" applyFont="1" applyBorder="1" applyAlignment="1" applyProtection="1">
      <alignment horizontal="center" vertical="center" wrapText="1"/>
    </xf>
    <xf numFmtId="0" fontId="61" fillId="0" borderId="0" xfId="0" applyFont="1" applyFill="1" applyBorder="1" applyAlignment="1" applyProtection="1">
      <alignment horizontal="left" vertical="center" wrapText="1"/>
    </xf>
    <xf numFmtId="0" fontId="82" fillId="0" borderId="8"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70" fillId="0" borderId="13"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49" fillId="0" borderId="7"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49" fillId="0" borderId="9" xfId="0" applyFont="1" applyBorder="1" applyAlignment="1" applyProtection="1">
      <alignment horizontal="center" vertical="center" wrapText="1"/>
    </xf>
    <xf numFmtId="0" fontId="49" fillId="0" borderId="20" xfId="0" applyFont="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93" fillId="0" borderId="0" xfId="0" applyFont="1" applyFill="1" applyBorder="1" applyAlignment="1" applyProtection="1">
      <alignment horizontal="left" vertical="top" wrapText="1"/>
    </xf>
    <xf numFmtId="0" fontId="59" fillId="0" borderId="2" xfId="0" applyFont="1" applyFill="1" applyBorder="1" applyAlignment="1" applyProtection="1">
      <alignment horizontal="right" vertical="center"/>
    </xf>
    <xf numFmtId="0" fontId="59" fillId="0" borderId="26" xfId="0" applyFont="1" applyFill="1" applyBorder="1" applyAlignment="1" applyProtection="1">
      <alignment horizontal="right" vertical="center"/>
    </xf>
    <xf numFmtId="0" fontId="59" fillId="0" borderId="13" xfId="0" applyFont="1" applyFill="1" applyBorder="1" applyAlignment="1" applyProtection="1">
      <alignment horizontal="left" vertical="center" wrapText="1"/>
    </xf>
    <xf numFmtId="0" fontId="59" fillId="0" borderId="15" xfId="0" applyFont="1" applyFill="1" applyBorder="1" applyAlignment="1" applyProtection="1">
      <alignment horizontal="left" vertical="center" wrapText="1"/>
    </xf>
    <xf numFmtId="0" fontId="59" fillId="0" borderId="43" xfId="0" applyFont="1" applyFill="1" applyBorder="1" applyAlignment="1" applyProtection="1">
      <alignment horizontal="left" vertical="center"/>
    </xf>
    <xf numFmtId="0" fontId="59" fillId="0" borderId="23" xfId="0" applyFont="1" applyFill="1" applyBorder="1" applyAlignment="1" applyProtection="1">
      <alignment horizontal="left" vertical="center" wrapText="1"/>
    </xf>
    <xf numFmtId="0" fontId="59" fillId="0" borderId="10" xfId="0" applyFont="1" applyFill="1" applyBorder="1" applyAlignment="1" applyProtection="1">
      <alignment horizontal="left" vertical="center" wrapText="1"/>
    </xf>
    <xf numFmtId="0" fontId="69" fillId="0" borderId="0" xfId="0" applyFont="1" applyFill="1" applyBorder="1" applyAlignment="1" applyProtection="1">
      <alignment horizontal="left" vertical="top" wrapText="1"/>
    </xf>
    <xf numFmtId="0" fontId="65" fillId="0" borderId="0" xfId="0" applyFont="1" applyFill="1" applyBorder="1" applyAlignment="1" applyProtection="1">
      <alignment horizontal="left" vertical="top" wrapText="1"/>
    </xf>
    <xf numFmtId="0" fontId="103" fillId="0" borderId="0" xfId="0" applyFont="1" applyFill="1" applyBorder="1" applyAlignment="1" applyProtection="1">
      <alignment horizontal="left" vertical="center" wrapText="1"/>
    </xf>
    <xf numFmtId="0" fontId="104" fillId="0" borderId="0" xfId="0" applyFont="1" applyFill="1" applyBorder="1" applyAlignment="1" applyProtection="1">
      <alignment horizontal="left" vertical="top" wrapText="1"/>
    </xf>
    <xf numFmtId="0" fontId="60" fillId="0" borderId="34" xfId="0" applyFont="1" applyFill="1" applyBorder="1" applyAlignment="1" applyProtection="1">
      <alignment horizontal="center" vertical="center" wrapText="1"/>
    </xf>
    <xf numFmtId="0" fontId="60" fillId="0" borderId="35" xfId="0" applyFont="1" applyFill="1" applyBorder="1" applyAlignment="1" applyProtection="1">
      <alignment horizontal="center" vertical="center" wrapText="1"/>
    </xf>
    <xf numFmtId="0" fontId="5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73" fillId="0" borderId="0" xfId="0" applyFont="1" applyFill="1" applyBorder="1" applyAlignment="1">
      <alignment horizontal="left" vertical="center" wrapText="1"/>
    </xf>
    <xf numFmtId="0" fontId="73" fillId="0" borderId="18" xfId="0" applyFont="1" applyFill="1" applyBorder="1" applyAlignment="1">
      <alignment horizontal="center" vertical="center" wrapText="1"/>
    </xf>
    <xf numFmtId="0" fontId="30" fillId="0" borderId="0" xfId="0" applyFont="1" applyFill="1" applyAlignment="1">
      <alignment horizontal="left" vertical="center" wrapText="1"/>
    </xf>
    <xf numFmtId="0" fontId="63" fillId="15" borderId="0" xfId="0" applyFont="1" applyFill="1" applyBorder="1" applyAlignment="1">
      <alignment vertical="top" wrapText="1"/>
    </xf>
    <xf numFmtId="0" fontId="63" fillId="15" borderId="2" xfId="0" applyFont="1" applyFill="1" applyBorder="1" applyAlignment="1">
      <alignment vertical="top" wrapText="1"/>
    </xf>
    <xf numFmtId="0" fontId="63" fillId="15" borderId="5" xfId="0" applyFont="1" applyFill="1" applyBorder="1" applyAlignment="1">
      <alignment vertical="top" wrapText="1"/>
    </xf>
    <xf numFmtId="0" fontId="12" fillId="3" borderId="21" xfId="0" applyFont="1" applyFill="1" applyBorder="1" applyAlignment="1">
      <alignment horizontal="center" vertical="center"/>
    </xf>
    <xf numFmtId="0" fontId="12" fillId="3" borderId="18" xfId="0" applyFont="1" applyFill="1" applyBorder="1" applyAlignment="1">
      <alignment horizontal="center" vertical="center"/>
    </xf>
    <xf numFmtId="9" fontId="12" fillId="3" borderId="36" xfId="0" applyNumberFormat="1" applyFont="1" applyFill="1" applyBorder="1" applyAlignment="1">
      <alignment horizontal="center" vertical="center"/>
    </xf>
    <xf numFmtId="9" fontId="12" fillId="3" borderId="37" xfId="0" applyNumberFormat="1" applyFont="1" applyFill="1" applyBorder="1" applyAlignment="1">
      <alignment horizontal="center" vertical="center"/>
    </xf>
    <xf numFmtId="9" fontId="12" fillId="3" borderId="51" xfId="0" applyNumberFormat="1" applyFont="1" applyFill="1" applyBorder="1" applyAlignment="1">
      <alignment horizontal="center" vertical="center"/>
    </xf>
    <xf numFmtId="9" fontId="12" fillId="3" borderId="52" xfId="0" applyNumberFormat="1" applyFont="1" applyFill="1" applyBorder="1" applyAlignment="1">
      <alignment horizontal="center" vertical="center"/>
    </xf>
    <xf numFmtId="0" fontId="62" fillId="10" borderId="20" xfId="0" applyFont="1" applyFill="1" applyBorder="1" applyAlignment="1">
      <alignment horizontal="center" vertical="top"/>
    </xf>
    <xf numFmtId="0" fontId="62" fillId="10" borderId="7" xfId="0" applyFont="1" applyFill="1" applyBorder="1" applyAlignment="1">
      <alignment horizontal="center" vertical="top"/>
    </xf>
    <xf numFmtId="0" fontId="63" fillId="15" borderId="0" xfId="0" applyFont="1" applyFill="1" applyAlignment="1">
      <alignment vertical="top" wrapText="1"/>
    </xf>
    <xf numFmtId="9" fontId="64" fillId="3" borderId="18" xfId="0" applyNumberFormat="1" applyFont="1" applyFill="1" applyBorder="1" applyAlignment="1">
      <alignment horizontal="center" vertical="center" wrapText="1"/>
    </xf>
    <xf numFmtId="9" fontId="64" fillId="3" borderId="22" xfId="0" applyNumberFormat="1" applyFont="1" applyFill="1" applyBorder="1" applyAlignment="1">
      <alignment horizontal="center" vertical="center" wrapText="1"/>
    </xf>
    <xf numFmtId="9" fontId="64" fillId="3" borderId="21" xfId="0" applyNumberFormat="1" applyFont="1" applyFill="1" applyBorder="1" applyAlignment="1">
      <alignment horizontal="center" vertical="center" wrapText="1"/>
    </xf>
    <xf numFmtId="9" fontId="64" fillId="3" borderId="53" xfId="0" applyNumberFormat="1" applyFont="1" applyFill="1" applyBorder="1" applyAlignment="1">
      <alignment horizontal="center" vertical="center" wrapText="1"/>
    </xf>
    <xf numFmtId="0" fontId="62" fillId="14" borderId="9" xfId="0" applyFont="1" applyFill="1" applyBorder="1" applyAlignment="1">
      <alignment horizontal="center" vertical="top"/>
    </xf>
    <xf numFmtId="0" fontId="62" fillId="14" borderId="20" xfId="0" applyFont="1" applyFill="1" applyBorder="1" applyAlignment="1">
      <alignment horizontal="center" vertical="top"/>
    </xf>
    <xf numFmtId="0" fontId="64" fillId="12" borderId="9" xfId="0" applyFont="1" applyFill="1" applyBorder="1" applyAlignment="1">
      <alignment horizontal="center" vertical="top"/>
    </xf>
    <xf numFmtId="0" fontId="64" fillId="12" borderId="20" xfId="0" applyFont="1" applyFill="1" applyBorder="1" applyAlignment="1">
      <alignment horizontal="center" vertical="top"/>
    </xf>
    <xf numFmtId="0" fontId="64" fillId="12" borderId="7" xfId="0" applyFont="1" applyFill="1" applyBorder="1" applyAlignment="1">
      <alignment horizontal="center" vertical="top"/>
    </xf>
    <xf numFmtId="0" fontId="62" fillId="13" borderId="20" xfId="0" applyFont="1" applyFill="1" applyBorder="1" applyAlignment="1">
      <alignment horizontal="center" vertical="top"/>
    </xf>
    <xf numFmtId="0" fontId="62" fillId="11" borderId="20" xfId="0" applyFont="1" applyFill="1" applyBorder="1" applyAlignment="1">
      <alignment horizontal="center" vertical="top"/>
    </xf>
  </cellXfs>
  <cellStyles count="4">
    <cellStyle name="Hyperlink" xfId="3" builtinId="8"/>
    <cellStyle name="Normal" xfId="0" builtinId="0"/>
    <cellStyle name="Normal 2" xfId="2"/>
    <cellStyle name="Percent" xfId="1" builtinId="5"/>
  </cellStyles>
  <dxfs count="78">
    <dxf>
      <fill>
        <patternFill>
          <bgColor rgb="FFFDECE3"/>
        </patternFill>
      </fill>
    </dxf>
    <dxf>
      <fill>
        <patternFill>
          <bgColor rgb="FFE7F3FF"/>
        </patternFill>
      </fill>
    </dxf>
    <dxf>
      <fill>
        <patternFill>
          <bgColor theme="2" tint="0.79998168889431442"/>
        </patternFill>
      </fill>
    </dxf>
    <dxf>
      <fill>
        <patternFill>
          <bgColor theme="2" tint="0.59996337778862885"/>
        </patternFill>
      </fill>
    </dxf>
    <dxf>
      <fill>
        <patternFill>
          <bgColor rgb="FFFDECE3"/>
        </patternFill>
      </fill>
    </dxf>
    <dxf>
      <fill>
        <patternFill>
          <bgColor rgb="FFE7F3FF"/>
        </patternFill>
      </fill>
    </dxf>
    <dxf>
      <fill>
        <patternFill>
          <bgColor theme="2" tint="0.79998168889431442"/>
        </patternFill>
      </fill>
    </dxf>
    <dxf>
      <fill>
        <patternFill>
          <bgColor theme="2" tint="0.59996337778862885"/>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E7F3FF"/>
        </patternFill>
      </fill>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protection locked="1" hidden="0"/>
    </dxf>
    <dxf>
      <numFmt numFmtId="0" formatCode="General"/>
      <protection locked="1" hidden="0"/>
    </dxf>
    <dxf>
      <font>
        <b/>
        <i val="0"/>
        <strike val="0"/>
        <condense val="0"/>
        <extend val="0"/>
        <outline val="0"/>
        <shadow val="0"/>
        <u val="none"/>
        <vertAlign val="baseline"/>
        <sz val="9"/>
        <color rgb="FFFF0000"/>
        <name val="Verdana"/>
        <scheme val="none"/>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9"/>
        <color rgb="FFFF0000"/>
        <name val="Verdana"/>
        <scheme val="none"/>
      </font>
      <fill>
        <patternFill patternType="none">
          <fgColor indexed="64"/>
          <bgColor indexed="65"/>
        </patternFill>
      </fill>
      <alignment horizontal="left" vertical="center" textRotation="0" wrapText="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strike val="0"/>
        <outline val="0"/>
        <shadow val="0"/>
        <u val="none"/>
        <vertAlign val="baseline"/>
        <sz val="9"/>
        <color theme="0"/>
        <name val="Verdana"/>
        <scheme val="none"/>
      </font>
      <fill>
        <patternFill patternType="solid">
          <fgColor indexed="64"/>
          <bgColor rgb="FFFF0000"/>
        </patternFill>
      </fill>
      <alignment horizontal="left" vertical="center" textRotation="0" wrapText="0" indent="0" justifyLastLine="0" shrinkToFit="0" readingOrder="0"/>
      <protection locked="0" hidden="0"/>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s>
  <tableStyles count="0" defaultTableStyle="TableStyleMedium9" defaultPivotStyle="PivotStyleLight16"/>
  <colors>
    <mruColors>
      <color rgb="FFFDECE3"/>
      <color rgb="FFE7F3FF"/>
      <color rgb="FF0058B1"/>
      <color rgb="FFD6E4F2"/>
      <color rgb="FF80ACD8"/>
      <color rgb="FFFFCCCC"/>
      <color rgb="FF026273"/>
      <color rgb="FFFFDDDD"/>
      <color rgb="FF4A8F9B"/>
      <color rgb="FFCCE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d:schema xmlns:xsd="http://www.w3.org/2001/XMLSchema" xmlns="">
      <xsd:element nillable="true" name="data-set">
        <xsd:complexType>
          <xsd:sequence minOccurs="0">
            <xsd:element minOccurs="0" maxOccurs="unbounded" nillable="true" name="record" form="unqualified">
              <xsd:complexType>
                <xsd:sequence minOccurs="0">
                  <xsd:element minOccurs="0" nillable="true" type="xsd:string" name="Practice" form="unqualified"/>
                  <xsd:element minOccurs="0" nillable="true" type="xsd:integer" name="Answer" form="unqualified"/>
                </xsd:sequence>
              </xsd:complexType>
            </xsd:element>
          </xsd:sequence>
        </xsd:complexType>
      </xsd:element>
    </xsd:schema>
  </Schema>
  <Schema ID="Schema4">
    <xsd:schema xmlns:xsd="http://www.w3.org/2001/XMLSchema" xmlns="">
      <xsd:element nillable="true" name="data-set2">
        <xsd:complexType>
          <xsd:sequence minOccurs="0">
            <xsd:element minOccurs="0" maxOccurs="unbounded" nillable="true" name="record" form="unqualified">
              <xsd:complexType>
                <xsd:sequence minOccurs="0">
                  <xsd:element minOccurs="0" nillable="true" type="xsd:string" name="Practice" form="unqualified"/>
                  <xsd:element minOccurs="0" nillable="true" type="xsd:integer" name="Answer" form="unqualified"/>
                </xsd:sequence>
              </xsd:complexType>
            </xsd:element>
          </xsd:sequence>
        </xsd:complexType>
      </xsd:element>
    </xsd:schema>
  </Schema>
  <Map ID="3" Name="data-set_Map" RootElement="data-set" SchemaID="Schema3" ShowImportExportValidationErrors="false" AutoFit="true" Append="false" PreserveSortAFLayout="true" PreserveFormat="true">
    <DataBinding FileBinding="true" ConnectionID="1" DataBindingLoadMode="1"/>
  </Map>
  <Map ID="4" Name="data-set2_Map" RootElement="data-set2" SchemaID="Schema4"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xmlMaps" Target="xmlMap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229915333354276E-2"/>
          <c:y val="1.4807504769882048E-2"/>
          <c:w val="0.98651699892340461"/>
          <c:h val="0.85603630846807399"/>
        </c:manualLayout>
      </c:layout>
      <c:barChart>
        <c:barDir val="col"/>
        <c:grouping val="stacked"/>
        <c:varyColors val="0"/>
        <c:ser>
          <c:idx val="3"/>
          <c:order val="0"/>
          <c:tx>
            <c:strRef>
              <c:f>NISTMap!$AB$15</c:f>
              <c:strCache>
                <c:ptCount val="1"/>
                <c:pt idx="0">
                  <c:v>MIL0</c:v>
                </c:pt>
              </c:strCache>
            </c:strRef>
          </c:tx>
          <c:spPr>
            <a:solidFill>
              <a:srgbClr val="FDECE3"/>
            </a:solidFill>
            <a:ln>
              <a:no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NISTMap!$AB$16:$AB$20</c:f>
              <c:numCache>
                <c:formatCode>General</c:formatCode>
                <c:ptCount val="5"/>
                <c:pt idx="0">
                  <c:v>0.3</c:v>
                </c:pt>
                <c:pt idx="1">
                  <c:v>0.3</c:v>
                </c:pt>
                <c:pt idx="2">
                  <c:v>0.3</c:v>
                </c:pt>
                <c:pt idx="3">
                  <c:v>0.3</c:v>
                </c:pt>
                <c:pt idx="4">
                  <c:v>0.3</c:v>
                </c:pt>
              </c:numCache>
            </c:numRef>
          </c:val>
          <c:extLst>
            <c:ext xmlns:c16="http://schemas.microsoft.com/office/drawing/2014/chart" uri="{C3380CC4-5D6E-409C-BE32-E72D297353CC}">
              <c16:uniqueId val="{00000000-666C-4775-B164-1921AF2171B9}"/>
            </c:ext>
          </c:extLst>
        </c:ser>
        <c:ser>
          <c:idx val="4"/>
          <c:order val="1"/>
          <c:tx>
            <c:strRef>
              <c:f>NISTMap!$AC$15</c:f>
              <c:strCache>
                <c:ptCount val="1"/>
                <c:pt idx="0">
                  <c:v>MIL1</c:v>
                </c:pt>
              </c:strCache>
            </c:strRef>
          </c:tx>
          <c:spPr>
            <a:solidFill>
              <a:srgbClr val="E7F3FF"/>
            </a:solidFill>
            <a:ln>
              <a:no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NISTMap!$AC$16:$AC$20</c:f>
              <c:numCache>
                <c:formatCode>General</c:formatCode>
                <c:ptCount val="5"/>
                <c:pt idx="0">
                  <c:v>0.3</c:v>
                </c:pt>
                <c:pt idx="1">
                  <c:v>0.3</c:v>
                </c:pt>
                <c:pt idx="2">
                  <c:v>0.3</c:v>
                </c:pt>
                <c:pt idx="3">
                  <c:v>0.3</c:v>
                </c:pt>
                <c:pt idx="4">
                  <c:v>0.3</c:v>
                </c:pt>
              </c:numCache>
            </c:numRef>
          </c:val>
          <c:extLst>
            <c:ext xmlns:c16="http://schemas.microsoft.com/office/drawing/2014/chart" uri="{C3380CC4-5D6E-409C-BE32-E72D297353CC}">
              <c16:uniqueId val="{00000001-666C-4775-B164-1921AF2171B9}"/>
            </c:ext>
          </c:extLst>
        </c:ser>
        <c:ser>
          <c:idx val="5"/>
          <c:order val="2"/>
          <c:tx>
            <c:strRef>
              <c:f>NISTMap!$AD$15</c:f>
              <c:strCache>
                <c:ptCount val="1"/>
                <c:pt idx="0">
                  <c:v>MIl2</c:v>
                </c:pt>
              </c:strCache>
            </c:strRef>
          </c:tx>
          <c:spPr>
            <a:solidFill>
              <a:schemeClr val="bg2">
                <a:lumMod val="20000"/>
                <a:lumOff val="80000"/>
              </a:schemeClr>
            </a:solidFill>
            <a:ln>
              <a:no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NISTMap!$AD$16:$AD$20</c:f>
              <c:numCache>
                <c:formatCode>General</c:formatCode>
                <c:ptCount val="5"/>
                <c:pt idx="0">
                  <c:v>0.30000000000000004</c:v>
                </c:pt>
                <c:pt idx="1">
                  <c:v>0.30000000000000004</c:v>
                </c:pt>
                <c:pt idx="2">
                  <c:v>0.30000000000000004</c:v>
                </c:pt>
                <c:pt idx="3">
                  <c:v>0.30000000000000004</c:v>
                </c:pt>
                <c:pt idx="4">
                  <c:v>0.30000000000000004</c:v>
                </c:pt>
              </c:numCache>
            </c:numRef>
          </c:val>
          <c:extLst>
            <c:ext xmlns:c16="http://schemas.microsoft.com/office/drawing/2014/chart" uri="{C3380CC4-5D6E-409C-BE32-E72D297353CC}">
              <c16:uniqueId val="{00000002-666C-4775-B164-1921AF2171B9}"/>
            </c:ext>
          </c:extLst>
        </c:ser>
        <c:ser>
          <c:idx val="6"/>
          <c:order val="3"/>
          <c:tx>
            <c:strRef>
              <c:f>NISTMap!$AE$15</c:f>
              <c:strCache>
                <c:ptCount val="1"/>
                <c:pt idx="0">
                  <c:v>MIL3</c:v>
                </c:pt>
              </c:strCache>
            </c:strRef>
          </c:tx>
          <c:spPr>
            <a:solidFill>
              <a:schemeClr val="bg2">
                <a:lumMod val="40000"/>
                <a:lumOff val="60000"/>
              </a:schemeClr>
            </a:solidFill>
            <a:ln>
              <a:no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NISTMap!$AE$16:$AE$20</c:f>
              <c:numCache>
                <c:formatCode>General</c:formatCode>
                <c:ptCount val="5"/>
                <c:pt idx="0">
                  <c:v>9.9999999999999978E-2</c:v>
                </c:pt>
                <c:pt idx="1">
                  <c:v>9.9999999999999978E-2</c:v>
                </c:pt>
                <c:pt idx="2">
                  <c:v>9.9999999999999978E-2</c:v>
                </c:pt>
                <c:pt idx="3">
                  <c:v>9.9999999999999978E-2</c:v>
                </c:pt>
                <c:pt idx="4">
                  <c:v>9.9999999999999978E-2</c:v>
                </c:pt>
              </c:numCache>
            </c:numRef>
          </c:val>
          <c:extLst>
            <c:ext xmlns:c16="http://schemas.microsoft.com/office/drawing/2014/chart" uri="{C3380CC4-5D6E-409C-BE32-E72D297353CC}">
              <c16:uniqueId val="{00000003-666C-4775-B164-1921AF2171B9}"/>
            </c:ext>
          </c:extLst>
        </c:ser>
        <c:dLbls>
          <c:showLegendKey val="0"/>
          <c:showVal val="0"/>
          <c:showCatName val="0"/>
          <c:showSerName val="0"/>
          <c:showPercent val="0"/>
          <c:showBubbleSize val="0"/>
        </c:dLbls>
        <c:gapWidth val="0"/>
        <c:overlap val="100"/>
        <c:axId val="1856652208"/>
        <c:axId val="1856653456"/>
      </c:barChart>
      <c:barChart>
        <c:barDir val="col"/>
        <c:grouping val="clustered"/>
        <c:varyColors val="0"/>
        <c:ser>
          <c:idx val="0"/>
          <c:order val="4"/>
          <c:tx>
            <c:strRef>
              <c:f>NISTMap!$AE$2</c:f>
              <c:strCache>
                <c:ptCount val="1"/>
                <c:pt idx="0">
                  <c:v>Edellinen</c:v>
                </c:pt>
              </c:strCache>
            </c:strRef>
          </c:tx>
          <c:spPr>
            <a:solidFill>
              <a:schemeClr val="bg1">
                <a:lumMod val="75000"/>
              </a:schemeClr>
            </a:solidFill>
            <a:ln w="9525">
              <a:solidFill>
                <a:schemeClr val="tx1">
                  <a:lumMod val="50000"/>
                  <a:lumOff val="50000"/>
                </a:schemeClr>
              </a:solid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NISTMap!$AE$3:$AE$7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666C-4775-B164-1921AF2171B9}"/>
            </c:ext>
          </c:extLst>
        </c:ser>
        <c:ser>
          <c:idx val="1"/>
          <c:order val="5"/>
          <c:tx>
            <c:strRef>
              <c:f>NISTMap!$AD$2</c:f>
              <c:strCache>
                <c:ptCount val="1"/>
                <c:pt idx="0">
                  <c:v>Nykytila</c:v>
                </c:pt>
              </c:strCache>
            </c:strRef>
          </c:tx>
          <c:spPr>
            <a:solidFill>
              <a:schemeClr val="bg2">
                <a:lumMod val="60000"/>
                <a:lumOff val="40000"/>
              </a:schemeClr>
            </a:solidFill>
            <a:ln w="15875">
              <a:solidFill>
                <a:schemeClr val="bg2">
                  <a:lumMod val="40000"/>
                  <a:lumOff val="60000"/>
                </a:schemeClr>
              </a:solid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NISTMap!$AD$3:$AD$7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666C-4775-B164-1921AF2171B9}"/>
            </c:ext>
          </c:extLst>
        </c:ser>
        <c:ser>
          <c:idx val="2"/>
          <c:order val="6"/>
          <c:tx>
            <c:strRef>
              <c:f>NISTMap!$AC$2</c:f>
              <c:strCache>
                <c:ptCount val="1"/>
                <c:pt idx="0">
                  <c:v>Kyberturvallisuuden kypsyystaso</c:v>
                </c:pt>
              </c:strCache>
            </c:strRef>
          </c:tx>
          <c:spPr>
            <a:solidFill>
              <a:srgbClr val="0058B1">
                <a:alpha val="89000"/>
              </a:srgbClr>
            </a:solidFill>
            <a:ln w="15875">
              <a:solidFill>
                <a:schemeClr val="bg2">
                  <a:lumMod val="75000"/>
                </a:schemeClr>
              </a:solid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NISTMap!$AC$3:$AC$7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666C-4775-B164-1921AF2171B9}"/>
            </c:ext>
          </c:extLst>
        </c:ser>
        <c:dLbls>
          <c:showLegendKey val="0"/>
          <c:showVal val="0"/>
          <c:showCatName val="0"/>
          <c:showSerName val="0"/>
          <c:showPercent val="0"/>
          <c:showBubbleSize val="0"/>
        </c:dLbls>
        <c:gapWidth val="65"/>
        <c:overlap val="80"/>
        <c:axId val="257075768"/>
        <c:axId val="329287672"/>
      </c:barChart>
      <c:catAx>
        <c:axId val="18566522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baseline="0">
                <a:solidFill>
                  <a:srgbClr val="0058B1"/>
                </a:solidFill>
                <a:latin typeface="+mn-lt"/>
                <a:ea typeface="+mn-ea"/>
                <a:cs typeface="+mn-cs"/>
              </a:defRPr>
            </a:pPr>
            <a:endParaRPr lang="fi-FI"/>
          </a:p>
        </c:txPr>
        <c:crossAx val="1856653456"/>
        <c:crossesAt val="0"/>
        <c:auto val="1"/>
        <c:lblAlgn val="ctr"/>
        <c:lblOffset val="100"/>
        <c:noMultiLvlLbl val="0"/>
      </c:catAx>
      <c:valAx>
        <c:axId val="1856653456"/>
        <c:scaling>
          <c:orientation val="minMax"/>
          <c:max val="1"/>
          <c:min val="0"/>
        </c:scaling>
        <c:delete val="1"/>
        <c:axPos val="l"/>
        <c:numFmt formatCode="General" sourceLinked="1"/>
        <c:majorTickMark val="none"/>
        <c:minorTickMark val="none"/>
        <c:tickLblPos val="high"/>
        <c:crossAx val="1856652208"/>
        <c:crosses val="autoZero"/>
        <c:crossBetween val="between"/>
        <c:majorUnit val="1"/>
      </c:valAx>
      <c:valAx>
        <c:axId val="329287672"/>
        <c:scaling>
          <c:orientation val="minMax"/>
          <c:max val="1"/>
          <c:min val="0"/>
        </c:scaling>
        <c:delete val="1"/>
        <c:axPos val="l"/>
        <c:numFmt formatCode="0%" sourceLinked="1"/>
        <c:majorTickMark val="out"/>
        <c:minorTickMark val="none"/>
        <c:tickLblPos val="nextTo"/>
        <c:crossAx val="257075768"/>
        <c:crosses val="autoZero"/>
        <c:crossBetween val="between"/>
        <c:majorUnit val="1"/>
      </c:valAx>
      <c:catAx>
        <c:axId val="257075768"/>
        <c:scaling>
          <c:orientation val="minMax"/>
        </c:scaling>
        <c:delete val="1"/>
        <c:axPos val="b"/>
        <c:numFmt formatCode="General" sourceLinked="1"/>
        <c:majorTickMark val="out"/>
        <c:minorTickMark val="none"/>
        <c:tickLblPos val="nextTo"/>
        <c:crossAx val="329287672"/>
        <c:crosses val="autoZero"/>
        <c:auto val="1"/>
        <c:lblAlgn val="ctr"/>
        <c:lblOffset val="100"/>
        <c:noMultiLvlLbl val="0"/>
      </c:cat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47625" cap="flat" cmpd="sng" algn="ctr">
      <a:noFill/>
      <a:round/>
    </a:ln>
    <a:effectLst/>
  </c:spPr>
  <c:txPr>
    <a:bodyPr/>
    <a:lstStyle/>
    <a:p>
      <a:pPr>
        <a:defRPr/>
      </a:pPr>
      <a:endParaRPr lang="fi-FI"/>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229915333354276E-2"/>
          <c:y val="1.4807504769882048E-2"/>
          <c:w val="0.98651699892340461"/>
          <c:h val="0.85603630846807399"/>
        </c:manualLayout>
      </c:layout>
      <c:barChart>
        <c:barDir val="col"/>
        <c:grouping val="stacked"/>
        <c:varyColors val="0"/>
        <c:ser>
          <c:idx val="3"/>
          <c:order val="0"/>
          <c:tx>
            <c:strRef>
              <c:f>Data!$R$15</c:f>
              <c:strCache>
                <c:ptCount val="1"/>
                <c:pt idx="0">
                  <c:v>MIL0</c:v>
                </c:pt>
              </c:strCache>
            </c:strRef>
          </c:tx>
          <c:spPr>
            <a:solidFill>
              <a:srgbClr val="FDECE3"/>
            </a:solidFill>
            <a:ln>
              <a:noFill/>
            </a:ln>
            <a:effectLst/>
          </c:spPr>
          <c:invertIfNegative val="0"/>
          <c:cat>
            <c:strRef>
              <c:f>Data!$R$3:$R$13</c:f>
              <c:strCache>
                <c:ptCount val="11"/>
                <c:pt idx="0">
                  <c:v>Kriittiset
palvelut</c:v>
                </c:pt>
                <c:pt idx="1">
                  <c:v>Riskien
hallinta</c:v>
                </c:pt>
                <c:pt idx="2">
                  <c:v>Toimitus
ketjut</c:v>
                </c:pt>
                <c:pt idx="3">
                  <c:v>Laiteet
ja tieto</c:v>
                </c:pt>
                <c:pt idx="4">
                  <c:v>Pääsyn
hallinta</c:v>
                </c:pt>
                <c:pt idx="5">
                  <c:v>Kyberuhat</c:v>
                </c:pt>
                <c:pt idx="6">
                  <c:v>Tilannekuva</c:v>
                </c:pt>
                <c:pt idx="7">
                  <c:v>Kyber
häiriöt</c:v>
                </c:pt>
                <c:pt idx="8">
                  <c:v>Henkilöstö</c:v>
                </c:pt>
                <c:pt idx="9">
                  <c:v>Kyber
arkkitehtuuri</c:v>
                </c:pt>
                <c:pt idx="10">
                  <c:v>Kehitys
ohjelma</c:v>
                </c:pt>
              </c:strCache>
            </c:strRef>
          </c:cat>
          <c:val>
            <c:numRef>
              <c:f>Data!$R$16:$R$26</c:f>
              <c:numCache>
                <c:formatCode>General</c:formatCode>
                <c:ptCount val="11"/>
                <c:pt idx="0">
                  <c:v>0.8</c:v>
                </c:pt>
                <c:pt idx="1">
                  <c:v>0.8</c:v>
                </c:pt>
                <c:pt idx="2">
                  <c:v>0.8</c:v>
                </c:pt>
                <c:pt idx="3">
                  <c:v>0.8</c:v>
                </c:pt>
                <c:pt idx="4">
                  <c:v>0.8</c:v>
                </c:pt>
                <c:pt idx="5">
                  <c:v>0.8</c:v>
                </c:pt>
                <c:pt idx="6">
                  <c:v>0.8</c:v>
                </c:pt>
                <c:pt idx="7">
                  <c:v>0.8</c:v>
                </c:pt>
                <c:pt idx="8">
                  <c:v>0.8</c:v>
                </c:pt>
                <c:pt idx="9">
                  <c:v>0.8</c:v>
                </c:pt>
                <c:pt idx="10">
                  <c:v>0.8</c:v>
                </c:pt>
              </c:numCache>
            </c:numRef>
          </c:val>
          <c:extLst>
            <c:ext xmlns:c16="http://schemas.microsoft.com/office/drawing/2014/chart" uri="{C3380CC4-5D6E-409C-BE32-E72D297353CC}">
              <c16:uniqueId val="{00000003-69CF-43BB-AE21-7C322FD34A55}"/>
            </c:ext>
          </c:extLst>
        </c:ser>
        <c:ser>
          <c:idx val="4"/>
          <c:order val="1"/>
          <c:tx>
            <c:strRef>
              <c:f>Data!$S$15</c:f>
              <c:strCache>
                <c:ptCount val="1"/>
                <c:pt idx="0">
                  <c:v>MIL1</c:v>
                </c:pt>
              </c:strCache>
            </c:strRef>
          </c:tx>
          <c:spPr>
            <a:solidFill>
              <a:srgbClr val="E7F3FF"/>
            </a:solidFill>
            <a:ln>
              <a:noFill/>
            </a:ln>
            <a:effectLst/>
          </c:spPr>
          <c:invertIfNegative val="0"/>
          <c:cat>
            <c:strRef>
              <c:f>Data!$R$3:$R$13</c:f>
              <c:strCache>
                <c:ptCount val="11"/>
                <c:pt idx="0">
                  <c:v>Kriittiset
palvelut</c:v>
                </c:pt>
                <c:pt idx="1">
                  <c:v>Riskien
hallinta</c:v>
                </c:pt>
                <c:pt idx="2">
                  <c:v>Toimitus
ketjut</c:v>
                </c:pt>
                <c:pt idx="3">
                  <c:v>Laiteet
ja tieto</c:v>
                </c:pt>
                <c:pt idx="4">
                  <c:v>Pääsyn
hallinta</c:v>
                </c:pt>
                <c:pt idx="5">
                  <c:v>Kyberuhat</c:v>
                </c:pt>
                <c:pt idx="6">
                  <c:v>Tilannekuva</c:v>
                </c:pt>
                <c:pt idx="7">
                  <c:v>Kyber
häiriöt</c:v>
                </c:pt>
                <c:pt idx="8">
                  <c:v>Henkilöstö</c:v>
                </c:pt>
                <c:pt idx="9">
                  <c:v>Kyber
arkkitehtuuri</c:v>
                </c:pt>
                <c:pt idx="10">
                  <c:v>Kehitys
ohjelma</c:v>
                </c:pt>
              </c:strCache>
            </c:strRef>
          </c:cat>
          <c:val>
            <c:numRef>
              <c:f>Data!$S$16:$S$26</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4-69CF-43BB-AE21-7C322FD34A55}"/>
            </c:ext>
          </c:extLst>
        </c:ser>
        <c:ser>
          <c:idx val="5"/>
          <c:order val="2"/>
          <c:tx>
            <c:strRef>
              <c:f>Data!$T$15</c:f>
              <c:strCache>
                <c:ptCount val="1"/>
                <c:pt idx="0">
                  <c:v>MIl2</c:v>
                </c:pt>
              </c:strCache>
            </c:strRef>
          </c:tx>
          <c:spPr>
            <a:solidFill>
              <a:schemeClr val="bg2">
                <a:lumMod val="20000"/>
                <a:lumOff val="80000"/>
              </a:schemeClr>
            </a:solidFill>
            <a:ln>
              <a:noFill/>
            </a:ln>
            <a:effectLst/>
          </c:spPr>
          <c:invertIfNegative val="0"/>
          <c:cat>
            <c:strRef>
              <c:f>Data!$R$3:$R$13</c:f>
              <c:strCache>
                <c:ptCount val="11"/>
                <c:pt idx="0">
                  <c:v>Kriittiset
palvelut</c:v>
                </c:pt>
                <c:pt idx="1">
                  <c:v>Riskien
hallinta</c:v>
                </c:pt>
                <c:pt idx="2">
                  <c:v>Toimitus
ketjut</c:v>
                </c:pt>
                <c:pt idx="3">
                  <c:v>Laiteet
ja tieto</c:v>
                </c:pt>
                <c:pt idx="4">
                  <c:v>Pääsyn
hallinta</c:v>
                </c:pt>
                <c:pt idx="5">
                  <c:v>Kyberuhat</c:v>
                </c:pt>
                <c:pt idx="6">
                  <c:v>Tilannekuva</c:v>
                </c:pt>
                <c:pt idx="7">
                  <c:v>Kyber
häiriöt</c:v>
                </c:pt>
                <c:pt idx="8">
                  <c:v>Henkilöstö</c:v>
                </c:pt>
                <c:pt idx="9">
                  <c:v>Kyber
arkkitehtuuri</c:v>
                </c:pt>
                <c:pt idx="10">
                  <c:v>Kehitys
ohjelma</c:v>
                </c:pt>
              </c:strCache>
            </c:strRef>
          </c:cat>
          <c:val>
            <c:numRef>
              <c:f>Data!$T$16:$T$26</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5-69CF-43BB-AE21-7C322FD34A55}"/>
            </c:ext>
          </c:extLst>
        </c:ser>
        <c:ser>
          <c:idx val="6"/>
          <c:order val="3"/>
          <c:tx>
            <c:strRef>
              <c:f>Data!$U$15</c:f>
              <c:strCache>
                <c:ptCount val="1"/>
                <c:pt idx="0">
                  <c:v>MIL3</c:v>
                </c:pt>
              </c:strCache>
            </c:strRef>
          </c:tx>
          <c:spPr>
            <a:solidFill>
              <a:schemeClr val="bg2">
                <a:lumMod val="40000"/>
                <a:lumOff val="60000"/>
              </a:schemeClr>
            </a:solidFill>
            <a:ln>
              <a:noFill/>
            </a:ln>
            <a:effectLst/>
          </c:spPr>
          <c:invertIfNegative val="0"/>
          <c:cat>
            <c:strRef>
              <c:f>Data!$R$3:$R$13</c:f>
              <c:strCache>
                <c:ptCount val="11"/>
                <c:pt idx="0">
                  <c:v>Kriittiset
palvelut</c:v>
                </c:pt>
                <c:pt idx="1">
                  <c:v>Riskien
hallinta</c:v>
                </c:pt>
                <c:pt idx="2">
                  <c:v>Toimitus
ketjut</c:v>
                </c:pt>
                <c:pt idx="3">
                  <c:v>Laiteet
ja tieto</c:v>
                </c:pt>
                <c:pt idx="4">
                  <c:v>Pääsyn
hallinta</c:v>
                </c:pt>
                <c:pt idx="5">
                  <c:v>Kyberuhat</c:v>
                </c:pt>
                <c:pt idx="6">
                  <c:v>Tilannekuva</c:v>
                </c:pt>
                <c:pt idx="7">
                  <c:v>Kyber
häiriöt</c:v>
                </c:pt>
                <c:pt idx="8">
                  <c:v>Henkilöstö</c:v>
                </c:pt>
                <c:pt idx="9">
                  <c:v>Kyber
arkkitehtuuri</c:v>
                </c:pt>
                <c:pt idx="10">
                  <c:v>Kehitys
ohjelma</c:v>
                </c:pt>
              </c:strCache>
            </c:strRef>
          </c:cat>
          <c:val>
            <c:numRef>
              <c:f>Data!$U$16:$U$26</c:f>
              <c:numCache>
                <c:formatCode>General</c:formatCode>
                <c:ptCount val="11"/>
                <c:pt idx="0">
                  <c:v>0.5</c:v>
                </c:pt>
                <c:pt idx="1">
                  <c:v>0.5</c:v>
                </c:pt>
                <c:pt idx="2">
                  <c:v>0.5</c:v>
                </c:pt>
                <c:pt idx="3">
                  <c:v>0.5</c:v>
                </c:pt>
                <c:pt idx="4">
                  <c:v>0.5</c:v>
                </c:pt>
                <c:pt idx="5">
                  <c:v>0.5</c:v>
                </c:pt>
                <c:pt idx="6">
                  <c:v>0.5</c:v>
                </c:pt>
                <c:pt idx="7">
                  <c:v>0.5</c:v>
                </c:pt>
                <c:pt idx="8">
                  <c:v>0.5</c:v>
                </c:pt>
                <c:pt idx="9">
                  <c:v>0.5</c:v>
                </c:pt>
                <c:pt idx="10">
                  <c:v>0.5</c:v>
                </c:pt>
              </c:numCache>
            </c:numRef>
          </c:val>
          <c:extLst>
            <c:ext xmlns:c16="http://schemas.microsoft.com/office/drawing/2014/chart" uri="{C3380CC4-5D6E-409C-BE32-E72D297353CC}">
              <c16:uniqueId val="{00000006-69CF-43BB-AE21-7C322FD34A55}"/>
            </c:ext>
          </c:extLst>
        </c:ser>
        <c:dLbls>
          <c:showLegendKey val="0"/>
          <c:showVal val="0"/>
          <c:showCatName val="0"/>
          <c:showSerName val="0"/>
          <c:showPercent val="0"/>
          <c:showBubbleSize val="0"/>
        </c:dLbls>
        <c:gapWidth val="0"/>
        <c:overlap val="100"/>
        <c:axId val="1856652208"/>
        <c:axId val="1856653456"/>
      </c:barChart>
      <c:barChart>
        <c:barDir val="col"/>
        <c:grouping val="clustered"/>
        <c:varyColors val="0"/>
        <c:ser>
          <c:idx val="0"/>
          <c:order val="4"/>
          <c:tx>
            <c:strRef>
              <c:f>Data!$U$2</c:f>
              <c:strCache>
                <c:ptCount val="1"/>
                <c:pt idx="0">
                  <c:v>Edellinen</c:v>
                </c:pt>
              </c:strCache>
            </c:strRef>
          </c:tx>
          <c:spPr>
            <a:solidFill>
              <a:schemeClr val="bg1">
                <a:lumMod val="75000"/>
              </a:schemeClr>
            </a:solidFill>
            <a:ln w="9525">
              <a:solidFill>
                <a:schemeClr val="tx1">
                  <a:lumMod val="50000"/>
                  <a:lumOff val="50000"/>
                </a:schemeClr>
              </a:solidFill>
            </a:ln>
            <a:effectLst/>
          </c:spPr>
          <c:invertIfNegative val="0"/>
          <c:cat>
            <c:strRef>
              <c:f>Data!$Q$3:$Q$13</c:f>
              <c:strCache>
                <c:ptCount val="11"/>
                <c:pt idx="0">
                  <c:v>CRITICAL</c:v>
                </c:pt>
                <c:pt idx="1">
                  <c:v>RISK</c:v>
                </c:pt>
                <c:pt idx="2">
                  <c:v>DEPENDENCIES</c:v>
                </c:pt>
                <c:pt idx="3">
                  <c:v>ASSET</c:v>
                </c:pt>
                <c:pt idx="4">
                  <c:v>ACCESS</c:v>
                </c:pt>
                <c:pt idx="5">
                  <c:v>THREAT</c:v>
                </c:pt>
                <c:pt idx="6">
                  <c:v>SITUATION</c:v>
                </c:pt>
                <c:pt idx="7">
                  <c:v>RESPONSE</c:v>
                </c:pt>
                <c:pt idx="8">
                  <c:v>WORKFORCE</c:v>
                </c:pt>
                <c:pt idx="9">
                  <c:v>ARCHITECTURE</c:v>
                </c:pt>
                <c:pt idx="10">
                  <c:v>PROGRAM</c:v>
                </c:pt>
              </c:strCache>
            </c:strRef>
          </c:cat>
          <c:val>
            <c:numRef>
              <c:f>Data!$U$3:$U$13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7D8-412C-AE0C-62A8143B0BCA}"/>
            </c:ext>
          </c:extLst>
        </c:ser>
        <c:ser>
          <c:idx val="1"/>
          <c:order val="5"/>
          <c:tx>
            <c:strRef>
              <c:f>Data!$T$2</c:f>
              <c:strCache>
                <c:ptCount val="1"/>
                <c:pt idx="0">
                  <c:v>Nykytila</c:v>
                </c:pt>
              </c:strCache>
            </c:strRef>
          </c:tx>
          <c:spPr>
            <a:solidFill>
              <a:schemeClr val="bg2">
                <a:lumMod val="60000"/>
                <a:lumOff val="40000"/>
              </a:schemeClr>
            </a:solidFill>
            <a:ln w="15875">
              <a:solidFill>
                <a:schemeClr val="bg2">
                  <a:lumMod val="60000"/>
                  <a:lumOff val="40000"/>
                </a:schemeClr>
              </a:solidFill>
            </a:ln>
            <a:effectLst/>
          </c:spPr>
          <c:invertIfNegative val="0"/>
          <c:cat>
            <c:strRef>
              <c:f>Data!$Q$3:$Q$13</c:f>
              <c:strCache>
                <c:ptCount val="11"/>
                <c:pt idx="0">
                  <c:v>CRITICAL</c:v>
                </c:pt>
                <c:pt idx="1">
                  <c:v>RISK</c:v>
                </c:pt>
                <c:pt idx="2">
                  <c:v>DEPENDENCIES</c:v>
                </c:pt>
                <c:pt idx="3">
                  <c:v>ASSET</c:v>
                </c:pt>
                <c:pt idx="4">
                  <c:v>ACCESS</c:v>
                </c:pt>
                <c:pt idx="5">
                  <c:v>THREAT</c:v>
                </c:pt>
                <c:pt idx="6">
                  <c:v>SITUATION</c:v>
                </c:pt>
                <c:pt idx="7">
                  <c:v>RESPONSE</c:v>
                </c:pt>
                <c:pt idx="8">
                  <c:v>WORKFORCE</c:v>
                </c:pt>
                <c:pt idx="9">
                  <c:v>ARCHITECTURE</c:v>
                </c:pt>
                <c:pt idx="10">
                  <c:v>PROGRAM</c:v>
                </c:pt>
              </c:strCache>
            </c:strRef>
          </c:cat>
          <c:val>
            <c:numRef>
              <c:f>Data!$T$3:$T$13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69CF-43BB-AE21-7C322FD34A55}"/>
            </c:ext>
          </c:extLst>
        </c:ser>
        <c:ser>
          <c:idx val="2"/>
          <c:order val="6"/>
          <c:tx>
            <c:strRef>
              <c:f>Data!$S$2</c:f>
              <c:strCache>
                <c:ptCount val="1"/>
                <c:pt idx="0">
                  <c:v>Kyberturvallisuuden kypsyystaso</c:v>
                </c:pt>
              </c:strCache>
            </c:strRef>
          </c:tx>
          <c:spPr>
            <a:solidFill>
              <a:srgbClr val="0058B1">
                <a:alpha val="89000"/>
              </a:srgbClr>
            </a:solidFill>
            <a:ln w="15875">
              <a:solidFill>
                <a:schemeClr val="bg2">
                  <a:lumMod val="75000"/>
                </a:schemeClr>
              </a:solidFill>
            </a:ln>
            <a:effectLst/>
          </c:spPr>
          <c:invertIfNegative val="0"/>
          <c:cat>
            <c:strRef>
              <c:f>Data!$Q$3:$Q$13</c:f>
              <c:strCache>
                <c:ptCount val="11"/>
                <c:pt idx="0">
                  <c:v>CRITICAL</c:v>
                </c:pt>
                <c:pt idx="1">
                  <c:v>RISK</c:v>
                </c:pt>
                <c:pt idx="2">
                  <c:v>DEPENDENCIES</c:v>
                </c:pt>
                <c:pt idx="3">
                  <c:v>ASSET</c:v>
                </c:pt>
                <c:pt idx="4">
                  <c:v>ACCESS</c:v>
                </c:pt>
                <c:pt idx="5">
                  <c:v>THREAT</c:v>
                </c:pt>
                <c:pt idx="6">
                  <c:v>SITUATION</c:v>
                </c:pt>
                <c:pt idx="7">
                  <c:v>RESPONSE</c:v>
                </c:pt>
                <c:pt idx="8">
                  <c:v>WORKFORCE</c:v>
                </c:pt>
                <c:pt idx="9">
                  <c:v>ARCHITECTURE</c:v>
                </c:pt>
                <c:pt idx="10">
                  <c:v>PROGRAM</c:v>
                </c:pt>
              </c:strCache>
            </c:strRef>
          </c:cat>
          <c:val>
            <c:numRef>
              <c:f>Data!$S$3:$S$13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69CF-43BB-AE21-7C322FD34A55}"/>
            </c:ext>
          </c:extLst>
        </c:ser>
        <c:dLbls>
          <c:showLegendKey val="0"/>
          <c:showVal val="0"/>
          <c:showCatName val="0"/>
          <c:showSerName val="0"/>
          <c:showPercent val="0"/>
          <c:showBubbleSize val="0"/>
        </c:dLbls>
        <c:gapWidth val="65"/>
        <c:overlap val="65"/>
        <c:axId val="257075768"/>
        <c:axId val="329287672"/>
      </c:barChart>
      <c:catAx>
        <c:axId val="18566522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baseline="0">
                <a:solidFill>
                  <a:srgbClr val="0058B1"/>
                </a:solidFill>
                <a:latin typeface="+mn-lt"/>
                <a:ea typeface="+mn-ea"/>
                <a:cs typeface="+mn-cs"/>
              </a:defRPr>
            </a:pPr>
            <a:endParaRPr lang="fi-FI"/>
          </a:p>
        </c:txPr>
        <c:crossAx val="1856653456"/>
        <c:crossesAt val="0"/>
        <c:auto val="1"/>
        <c:lblAlgn val="ctr"/>
        <c:lblOffset val="100"/>
        <c:noMultiLvlLbl val="0"/>
      </c:catAx>
      <c:valAx>
        <c:axId val="1856653456"/>
        <c:scaling>
          <c:orientation val="minMax"/>
          <c:max val="3.2"/>
          <c:min val="0"/>
        </c:scaling>
        <c:delete val="1"/>
        <c:axPos val="l"/>
        <c:numFmt formatCode="General" sourceLinked="1"/>
        <c:majorTickMark val="none"/>
        <c:minorTickMark val="none"/>
        <c:tickLblPos val="high"/>
        <c:crossAx val="1856652208"/>
        <c:crosses val="autoZero"/>
        <c:crossBetween val="between"/>
        <c:majorUnit val="1"/>
      </c:valAx>
      <c:valAx>
        <c:axId val="329287672"/>
        <c:scaling>
          <c:orientation val="minMax"/>
          <c:max val="3.2"/>
          <c:min val="0"/>
        </c:scaling>
        <c:delete val="1"/>
        <c:axPos val="l"/>
        <c:numFmt formatCode="General" sourceLinked="1"/>
        <c:majorTickMark val="out"/>
        <c:minorTickMark val="none"/>
        <c:tickLblPos val="nextTo"/>
        <c:crossAx val="257075768"/>
        <c:crosses val="autoZero"/>
        <c:crossBetween val="between"/>
        <c:majorUnit val="1"/>
      </c:valAx>
      <c:catAx>
        <c:axId val="257075768"/>
        <c:scaling>
          <c:orientation val="minMax"/>
        </c:scaling>
        <c:delete val="1"/>
        <c:axPos val="b"/>
        <c:numFmt formatCode="General" sourceLinked="1"/>
        <c:majorTickMark val="out"/>
        <c:minorTickMark val="none"/>
        <c:tickLblPos val="nextTo"/>
        <c:crossAx val="329287672"/>
        <c:crosses val="autoZero"/>
        <c:auto val="1"/>
        <c:lblAlgn val="ctr"/>
        <c:lblOffset val="100"/>
        <c:noMultiLvlLbl val="0"/>
      </c:cat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47625" cap="flat" cmpd="sng" algn="ctr">
      <a:noFill/>
      <a:round/>
    </a:ln>
    <a:effectLst/>
  </c:spPr>
  <c:txPr>
    <a:bodyPr/>
    <a:lstStyle/>
    <a:p>
      <a:pPr>
        <a:defRPr/>
      </a:pPr>
      <a:endParaRPr lang="fi-F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1555057</xdr:colOff>
      <xdr:row>2</xdr:row>
      <xdr:rowOff>87092</xdr:rowOff>
    </xdr:from>
    <xdr:to>
      <xdr:col>9</xdr:col>
      <xdr:colOff>438365</xdr:colOff>
      <xdr:row>4</xdr:row>
      <xdr:rowOff>72571</xdr:rowOff>
    </xdr:to>
    <xdr:pic>
      <xdr:nvPicPr>
        <xdr:cNvPr id="2" name="Picture 1"/>
        <xdr:cNvPicPr>
          <a:picLocks noChangeAspect="1"/>
        </xdr:cNvPicPr>
      </xdr:nvPicPr>
      <xdr:blipFill>
        <a:blip xmlns:r="http://schemas.openxmlformats.org/officeDocument/2006/relationships" r:embed="rId1"/>
        <a:stretch>
          <a:fillRect/>
        </a:stretch>
      </xdr:blipFill>
      <xdr:spPr>
        <a:xfrm>
          <a:off x="8324157" y="379192"/>
          <a:ext cx="1607458" cy="4680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2465294</xdr:colOff>
      <xdr:row>1</xdr:row>
      <xdr:rowOff>171824</xdr:rowOff>
    </xdr:from>
    <xdr:to>
      <xdr:col>10</xdr:col>
      <xdr:colOff>14194</xdr:colOff>
      <xdr:row>3</xdr:row>
      <xdr:rowOff>7891</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03118" y="321236"/>
          <a:ext cx="1605429" cy="4785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2457823</xdr:colOff>
      <xdr:row>1</xdr:row>
      <xdr:rowOff>171824</xdr:rowOff>
    </xdr:from>
    <xdr:to>
      <xdr:col>10</xdr:col>
      <xdr:colOff>6723</xdr:colOff>
      <xdr:row>3</xdr:row>
      <xdr:rowOff>7891</xdr:rowOff>
    </xdr:to>
    <xdr:pic>
      <xdr:nvPicPr>
        <xdr:cNvPr id="3" name="Picture 2"/>
        <xdr:cNvPicPr>
          <a:picLocks noChangeAspect="1"/>
        </xdr:cNvPicPr>
      </xdr:nvPicPr>
      <xdr:blipFill>
        <a:blip xmlns:r="http://schemas.openxmlformats.org/officeDocument/2006/relationships" r:embed="rId1"/>
        <a:stretch>
          <a:fillRect/>
        </a:stretch>
      </xdr:blipFill>
      <xdr:spPr>
        <a:xfrm>
          <a:off x="9995647" y="321236"/>
          <a:ext cx="1605429" cy="4785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2502647</xdr:colOff>
      <xdr:row>1</xdr:row>
      <xdr:rowOff>149411</xdr:rowOff>
    </xdr:from>
    <xdr:to>
      <xdr:col>10</xdr:col>
      <xdr:colOff>51547</xdr:colOff>
      <xdr:row>2</xdr:row>
      <xdr:rowOff>306713</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40471" y="298823"/>
          <a:ext cx="1605429" cy="47853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664882</xdr:colOff>
      <xdr:row>1</xdr:row>
      <xdr:rowOff>119529</xdr:rowOff>
    </xdr:from>
    <xdr:to>
      <xdr:col>12</xdr:col>
      <xdr:colOff>29135</xdr:colOff>
      <xdr:row>2</xdr:row>
      <xdr:rowOff>276831</xdr:rowOff>
    </xdr:to>
    <xdr:pic>
      <xdr:nvPicPr>
        <xdr:cNvPr id="3" name="Picture 2"/>
        <xdr:cNvPicPr>
          <a:picLocks noChangeAspect="1"/>
        </xdr:cNvPicPr>
      </xdr:nvPicPr>
      <xdr:blipFill>
        <a:blip xmlns:r="http://schemas.openxmlformats.org/officeDocument/2006/relationships" r:embed="rId1"/>
        <a:stretch>
          <a:fillRect/>
        </a:stretch>
      </xdr:blipFill>
      <xdr:spPr>
        <a:xfrm>
          <a:off x="9166411" y="268941"/>
          <a:ext cx="1605429" cy="47853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13</xdr:col>
      <xdr:colOff>1165653</xdr:colOff>
      <xdr:row>1</xdr:row>
      <xdr:rowOff>197824</xdr:rowOff>
    </xdr:from>
    <xdr:to>
      <xdr:col>15</xdr:col>
      <xdr:colOff>1336</xdr:colOff>
      <xdr:row>3</xdr:row>
      <xdr:rowOff>222645</xdr:rowOff>
    </xdr:to>
    <xdr:pic>
      <xdr:nvPicPr>
        <xdr:cNvPr id="2" name="Picture 1"/>
        <xdr:cNvPicPr>
          <a:picLocks noChangeAspect="1"/>
        </xdr:cNvPicPr>
      </xdr:nvPicPr>
      <xdr:blipFill>
        <a:blip xmlns:r="http://schemas.openxmlformats.org/officeDocument/2006/relationships" r:embed="rId1"/>
        <a:stretch>
          <a:fillRect/>
        </a:stretch>
      </xdr:blipFill>
      <xdr:spPr>
        <a:xfrm>
          <a:off x="8718418" y="377118"/>
          <a:ext cx="1614742" cy="4879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44820</xdr:colOff>
      <xdr:row>5</xdr:row>
      <xdr:rowOff>231588</xdr:rowOff>
    </xdr:from>
    <xdr:to>
      <xdr:col>10</xdr:col>
      <xdr:colOff>3173</xdr:colOff>
      <xdr:row>6</xdr:row>
      <xdr:rowOff>3757588</xdr:rowOff>
    </xdr:to>
    <xdr:graphicFrame macro="">
      <xdr:nvGraphicFramePr>
        <xdr:cNvPr id="5" name="Chart 4">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7816849</xdr:colOff>
      <xdr:row>6</xdr:row>
      <xdr:rowOff>2585357</xdr:rowOff>
    </xdr:from>
    <xdr:to>
      <xdr:col>10</xdr:col>
      <xdr:colOff>3492</xdr:colOff>
      <xdr:row>6</xdr:row>
      <xdr:rowOff>2945357</xdr:rowOff>
    </xdr:to>
    <xdr:sp macro="" textlink="">
      <xdr:nvSpPr>
        <xdr:cNvPr id="2" name="Rectangle 1"/>
        <xdr:cNvSpPr/>
      </xdr:nvSpPr>
      <xdr:spPr>
        <a:xfrm>
          <a:off x="12452349" y="4127500"/>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0</a:t>
          </a:r>
        </a:p>
      </xdr:txBody>
    </xdr:sp>
    <xdr:clientData/>
  </xdr:twoCellAnchor>
  <xdr:twoCellAnchor>
    <xdr:from>
      <xdr:col>8</xdr:col>
      <xdr:colOff>7816849</xdr:colOff>
      <xdr:row>6</xdr:row>
      <xdr:rowOff>1649186</xdr:rowOff>
    </xdr:from>
    <xdr:to>
      <xdr:col>10</xdr:col>
      <xdr:colOff>3492</xdr:colOff>
      <xdr:row>6</xdr:row>
      <xdr:rowOff>2009186</xdr:rowOff>
    </xdr:to>
    <xdr:sp macro="" textlink="">
      <xdr:nvSpPr>
        <xdr:cNvPr id="6" name="Rectangle 5"/>
        <xdr:cNvSpPr/>
      </xdr:nvSpPr>
      <xdr:spPr>
        <a:xfrm>
          <a:off x="12452349" y="3191329"/>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1</a:t>
          </a:r>
        </a:p>
      </xdr:txBody>
    </xdr:sp>
    <xdr:clientData/>
  </xdr:twoCellAnchor>
  <xdr:twoCellAnchor>
    <xdr:from>
      <xdr:col>8</xdr:col>
      <xdr:colOff>7816849</xdr:colOff>
      <xdr:row>6</xdr:row>
      <xdr:rowOff>676729</xdr:rowOff>
    </xdr:from>
    <xdr:to>
      <xdr:col>10</xdr:col>
      <xdr:colOff>3492</xdr:colOff>
      <xdr:row>6</xdr:row>
      <xdr:rowOff>1036729</xdr:rowOff>
    </xdr:to>
    <xdr:sp macro="" textlink="">
      <xdr:nvSpPr>
        <xdr:cNvPr id="7" name="Rectangle 6"/>
        <xdr:cNvSpPr/>
      </xdr:nvSpPr>
      <xdr:spPr>
        <a:xfrm>
          <a:off x="12452349" y="2218872"/>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2</a:t>
          </a:r>
        </a:p>
      </xdr:txBody>
    </xdr:sp>
    <xdr:clientData/>
  </xdr:twoCellAnchor>
  <xdr:twoCellAnchor>
    <xdr:from>
      <xdr:col>8</xdr:col>
      <xdr:colOff>7816849</xdr:colOff>
      <xdr:row>5</xdr:row>
      <xdr:rowOff>248558</xdr:rowOff>
    </xdr:from>
    <xdr:to>
      <xdr:col>10</xdr:col>
      <xdr:colOff>3492</xdr:colOff>
      <xdr:row>6</xdr:row>
      <xdr:rowOff>354558</xdr:rowOff>
    </xdr:to>
    <xdr:sp macro="" textlink="">
      <xdr:nvSpPr>
        <xdr:cNvPr id="8" name="Rectangle 7"/>
        <xdr:cNvSpPr/>
      </xdr:nvSpPr>
      <xdr:spPr>
        <a:xfrm>
          <a:off x="12452349" y="1536701"/>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3</a:t>
          </a:r>
        </a:p>
      </xdr:txBody>
    </xdr:sp>
    <xdr:clientData/>
  </xdr:twoCellAnchor>
  <xdr:twoCellAnchor>
    <xdr:from>
      <xdr:col>6</xdr:col>
      <xdr:colOff>471714</xdr:colOff>
      <xdr:row>7</xdr:row>
      <xdr:rowOff>181429</xdr:rowOff>
    </xdr:from>
    <xdr:to>
      <xdr:col>6</xdr:col>
      <xdr:colOff>651714</xdr:colOff>
      <xdr:row>7</xdr:row>
      <xdr:rowOff>361429</xdr:rowOff>
    </xdr:to>
    <xdr:sp macro="" textlink="Parameters!B11">
      <xdr:nvSpPr>
        <xdr:cNvPr id="13" name="Rectangle 12"/>
        <xdr:cNvSpPr/>
      </xdr:nvSpPr>
      <xdr:spPr>
        <a:xfrm>
          <a:off x="4191000" y="5533572"/>
          <a:ext cx="180000" cy="180000"/>
        </a:xfrm>
        <a:prstGeom prst="rect">
          <a:avLst/>
        </a:prstGeom>
        <a:solidFill>
          <a:srgbClr val="0058B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E5DFD69B-3CCC-4861-83BE-76D606C4EA8C}" type="TxLink">
            <a:rPr lang="en-US" sz="1100" b="0" i="0" u="none" strike="noStrike" dirty="0" err="1" smtClean="0">
              <a:solidFill>
                <a:srgbClr val="0058B1"/>
              </a:solidFill>
              <a:latin typeface="Verdana"/>
              <a:ea typeface="Verdana"/>
            </a:rPr>
            <a:pPr algn="l"/>
            <a:t>Organisaation nykytila</a:t>
          </a:fld>
          <a:endParaRPr lang="fi-FI" sz="2000" dirty="0" err="1" smtClean="0">
            <a:solidFill>
              <a:srgbClr val="0058B1"/>
            </a:solidFill>
            <a:latin typeface="+mj-lt"/>
          </a:endParaRPr>
        </a:p>
      </xdr:txBody>
    </xdr:sp>
    <xdr:clientData/>
  </xdr:twoCellAnchor>
  <xdr:twoCellAnchor>
    <xdr:from>
      <xdr:col>8</xdr:col>
      <xdr:colOff>2306862</xdr:colOff>
      <xdr:row>7</xdr:row>
      <xdr:rowOff>181429</xdr:rowOff>
    </xdr:from>
    <xdr:to>
      <xdr:col>8</xdr:col>
      <xdr:colOff>2486862</xdr:colOff>
      <xdr:row>7</xdr:row>
      <xdr:rowOff>361429</xdr:rowOff>
    </xdr:to>
    <xdr:sp macro="" textlink="Parameters!B12">
      <xdr:nvSpPr>
        <xdr:cNvPr id="14" name="Rectangle 13"/>
        <xdr:cNvSpPr/>
      </xdr:nvSpPr>
      <xdr:spPr>
        <a:xfrm>
          <a:off x="6942362" y="5533572"/>
          <a:ext cx="180000" cy="180000"/>
        </a:xfrm>
        <a:prstGeom prst="rect">
          <a:avLst/>
        </a:prstGeom>
        <a:solidFill>
          <a:schemeClr val="bg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3D67FDEE-A73C-43CA-BF4C-F6CC8DEF18AB}" type="TxLink">
            <a:rPr lang="en-US" sz="1100" b="0" i="0" u="none" strike="noStrike" dirty="0" err="1" smtClean="0">
              <a:solidFill>
                <a:srgbClr val="0058B1"/>
              </a:solidFill>
              <a:latin typeface="Verdana"/>
              <a:ea typeface="Verdana"/>
            </a:rPr>
            <a:pPr algn="l"/>
            <a:t>Organisaation edellinen arviointi</a:t>
          </a:fld>
          <a:endParaRPr lang="fi-FI" sz="2000" dirty="0" err="1" smtClean="0">
            <a:solidFill>
              <a:srgbClr val="0058B1"/>
            </a:solidFill>
            <a:latin typeface="+mj-lt"/>
          </a:endParaRPr>
        </a:p>
      </xdr:txBody>
    </xdr:sp>
    <xdr:clientData/>
  </xdr:twoCellAnchor>
  <xdr:twoCellAnchor>
    <xdr:from>
      <xdr:col>8</xdr:col>
      <xdr:colOff>5602516</xdr:colOff>
      <xdr:row>7</xdr:row>
      <xdr:rowOff>181429</xdr:rowOff>
    </xdr:from>
    <xdr:to>
      <xdr:col>8</xdr:col>
      <xdr:colOff>5782516</xdr:colOff>
      <xdr:row>7</xdr:row>
      <xdr:rowOff>361429</xdr:rowOff>
    </xdr:to>
    <xdr:sp macro="" textlink="Parameters!B13">
      <xdr:nvSpPr>
        <xdr:cNvPr id="15" name="Rectangle 14"/>
        <xdr:cNvSpPr/>
      </xdr:nvSpPr>
      <xdr:spPr>
        <a:xfrm>
          <a:off x="10238016" y="5533572"/>
          <a:ext cx="180000" cy="1800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2CC646E1-B3CB-4EA8-928B-A6A9087BF30D}" type="TxLink">
            <a:rPr lang="en-US" sz="1100" b="0" i="0" u="none" strike="noStrike" dirty="0" err="1" smtClean="0">
              <a:solidFill>
                <a:srgbClr val="0058B1"/>
              </a:solidFill>
              <a:latin typeface="Verdana"/>
              <a:ea typeface="Verdana"/>
            </a:rPr>
            <a:pPr algn="l"/>
            <a:t>Referenssiryhmän keskiarvo</a:t>
          </a:fld>
          <a:endParaRPr lang="fi-FI" sz="2000" dirty="0" err="1" smtClean="0">
            <a:solidFill>
              <a:srgbClr val="0058B1"/>
            </a:solidFill>
            <a:latin typeface="+mj-lt"/>
          </a:endParaRPr>
        </a:p>
      </xdr:txBody>
    </xdr:sp>
    <xdr:clientData/>
  </xdr:twoCellAnchor>
  <xdr:oneCellAnchor>
    <xdr:from>
      <xdr:col>8</xdr:col>
      <xdr:colOff>6518729</xdr:colOff>
      <xdr:row>2</xdr:row>
      <xdr:rowOff>88900</xdr:rowOff>
    </xdr:from>
    <xdr:ext cx="1680777" cy="382053"/>
    <xdr:pic>
      <xdr:nvPicPr>
        <xdr:cNvPr id="16" name="Picture 15"/>
        <xdr:cNvPicPr>
          <a:picLocks noChangeAspect="1"/>
        </xdr:cNvPicPr>
      </xdr:nvPicPr>
      <xdr:blipFill>
        <a:blip xmlns:r="http://schemas.openxmlformats.org/officeDocument/2006/relationships" r:embed="rId2"/>
        <a:stretch>
          <a:fillRect/>
        </a:stretch>
      </xdr:blipFill>
      <xdr:spPr>
        <a:xfrm>
          <a:off x="11154229" y="488950"/>
          <a:ext cx="1680777" cy="382053"/>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6</xdr:col>
      <xdr:colOff>4239120</xdr:colOff>
      <xdr:row>2</xdr:row>
      <xdr:rowOff>70972</xdr:rowOff>
    </xdr:from>
    <xdr:ext cx="1680777" cy="382053"/>
    <xdr:pic>
      <xdr:nvPicPr>
        <xdr:cNvPr id="2" name="Picture 1"/>
        <xdr:cNvPicPr>
          <a:picLocks noChangeAspect="1"/>
        </xdr:cNvPicPr>
      </xdr:nvPicPr>
      <xdr:blipFill>
        <a:blip xmlns:r="http://schemas.openxmlformats.org/officeDocument/2006/relationships" r:embed="rId1"/>
        <a:stretch>
          <a:fillRect/>
        </a:stretch>
      </xdr:blipFill>
      <xdr:spPr>
        <a:xfrm>
          <a:off x="11151549" y="524543"/>
          <a:ext cx="1680777" cy="382053"/>
        </a:xfrm>
        <a:prstGeom prst="rect">
          <a:avLst/>
        </a:prstGeom>
      </xdr:spPr>
    </xdr:pic>
    <xdr:clientData/>
  </xdr:oneCellAnchor>
  <xdr:twoCellAnchor>
    <xdr:from>
      <xdr:col>2</xdr:col>
      <xdr:colOff>154214</xdr:colOff>
      <xdr:row>5</xdr:row>
      <xdr:rowOff>478972</xdr:rowOff>
    </xdr:from>
    <xdr:to>
      <xdr:col>7</xdr:col>
      <xdr:colOff>1272643</xdr:colOff>
      <xdr:row>6</xdr:row>
      <xdr:rowOff>3750972</xdr:rowOff>
    </xdr:to>
    <xdr:graphicFrame macro="">
      <xdr:nvGraphicFramePr>
        <xdr:cNvPr id="6" name="Chart 5">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52610</xdr:colOff>
      <xdr:row>41</xdr:row>
      <xdr:rowOff>129719</xdr:rowOff>
    </xdr:from>
    <xdr:to>
      <xdr:col>3</xdr:col>
      <xdr:colOff>232610</xdr:colOff>
      <xdr:row>41</xdr:row>
      <xdr:rowOff>309719</xdr:rowOff>
    </xdr:to>
    <xdr:sp macro="" textlink="Parameters!B14">
      <xdr:nvSpPr>
        <xdr:cNvPr id="19" name="Rectangle 18"/>
        <xdr:cNvSpPr/>
      </xdr:nvSpPr>
      <xdr:spPr>
        <a:xfrm>
          <a:off x="578753" y="14181362"/>
          <a:ext cx="180000" cy="180000"/>
        </a:xfrm>
        <a:prstGeom prst="rect">
          <a:avLst/>
        </a:prstGeom>
        <a:solidFill>
          <a:srgbClr val="FDECE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251EE8D8-1C2C-41D2-A6C2-2716C3FD3AA8}" type="TxLink">
            <a:rPr lang="en-US" sz="1200" b="0" i="0" u="none" strike="noStrike" dirty="0" err="1" smtClean="0">
              <a:solidFill>
                <a:srgbClr val="0058B1"/>
              </a:solidFill>
              <a:latin typeface="Verdana"/>
              <a:ea typeface="Verdana"/>
            </a:rPr>
            <a:pPr algn="l"/>
            <a:t>Kypsyystaso 0</a:t>
          </a:fld>
          <a:endParaRPr lang="en-US" dirty="0" err="1" smtClean="0"/>
        </a:p>
      </xdr:txBody>
    </xdr:sp>
    <xdr:clientData/>
  </xdr:twoCellAnchor>
  <xdr:twoCellAnchor>
    <xdr:from>
      <xdr:col>3</xdr:col>
      <xdr:colOff>1898949</xdr:colOff>
      <xdr:row>41</xdr:row>
      <xdr:rowOff>129719</xdr:rowOff>
    </xdr:from>
    <xdr:to>
      <xdr:col>3</xdr:col>
      <xdr:colOff>2078949</xdr:colOff>
      <xdr:row>41</xdr:row>
      <xdr:rowOff>309719</xdr:rowOff>
    </xdr:to>
    <xdr:sp macro="" textlink="Parameters!B15">
      <xdr:nvSpPr>
        <xdr:cNvPr id="20" name="Rectangle 19"/>
        <xdr:cNvSpPr/>
      </xdr:nvSpPr>
      <xdr:spPr>
        <a:xfrm>
          <a:off x="2425092" y="14081576"/>
          <a:ext cx="180000" cy="180000"/>
        </a:xfrm>
        <a:prstGeom prst="rect">
          <a:avLst/>
        </a:prstGeom>
        <a:solidFill>
          <a:srgbClr val="E7F3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1907CDBE-9F1F-4A0C-814C-0B93D1F43A19}" type="TxLink">
            <a:rPr lang="en-US" sz="1200" b="0" i="0" u="none" strike="noStrike" dirty="0" err="1" smtClean="0">
              <a:solidFill>
                <a:srgbClr val="0058B1"/>
              </a:solidFill>
              <a:latin typeface="Verdana"/>
              <a:ea typeface="Verdana"/>
            </a:rPr>
            <a:pPr algn="l"/>
            <a:t>Kypsyystaso 1</a:t>
          </a:fld>
          <a:endParaRPr lang="fi-FI" sz="1100" dirty="0" err="1" smtClean="0">
            <a:solidFill>
              <a:srgbClr val="0058B1"/>
            </a:solidFill>
            <a:latin typeface="+mj-lt"/>
          </a:endParaRPr>
        </a:p>
      </xdr:txBody>
    </xdr:sp>
    <xdr:clientData/>
  </xdr:twoCellAnchor>
  <xdr:twoCellAnchor>
    <xdr:from>
      <xdr:col>3</xdr:col>
      <xdr:colOff>3745288</xdr:colOff>
      <xdr:row>41</xdr:row>
      <xdr:rowOff>129719</xdr:rowOff>
    </xdr:from>
    <xdr:to>
      <xdr:col>3</xdr:col>
      <xdr:colOff>3925288</xdr:colOff>
      <xdr:row>41</xdr:row>
      <xdr:rowOff>309719</xdr:rowOff>
    </xdr:to>
    <xdr:sp macro="" textlink="Parameters!B16">
      <xdr:nvSpPr>
        <xdr:cNvPr id="21" name="Rectangle 20"/>
        <xdr:cNvSpPr/>
      </xdr:nvSpPr>
      <xdr:spPr>
        <a:xfrm>
          <a:off x="4271431" y="14081576"/>
          <a:ext cx="180000" cy="180000"/>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3360F72B-A86B-4A08-8B0D-97C8F825A06B}" type="TxLink">
            <a:rPr lang="en-US" sz="1200" b="0" i="0" u="none" strike="noStrike" dirty="0" err="1" smtClean="0">
              <a:solidFill>
                <a:srgbClr val="0058B1"/>
              </a:solidFill>
              <a:latin typeface="Verdana"/>
              <a:ea typeface="Verdana"/>
            </a:rPr>
            <a:pPr algn="l"/>
            <a:t>Kypsyystaso 2</a:t>
          </a:fld>
          <a:endParaRPr lang="fi-FI" sz="1100" dirty="0" err="1" smtClean="0">
            <a:solidFill>
              <a:srgbClr val="0058B1"/>
            </a:solidFill>
            <a:latin typeface="+mj-lt"/>
          </a:endParaRPr>
        </a:p>
      </xdr:txBody>
    </xdr:sp>
    <xdr:clientData/>
  </xdr:twoCellAnchor>
  <xdr:twoCellAnchor>
    <xdr:from>
      <xdr:col>4</xdr:col>
      <xdr:colOff>1092198</xdr:colOff>
      <xdr:row>41</xdr:row>
      <xdr:rowOff>129719</xdr:rowOff>
    </xdr:from>
    <xdr:to>
      <xdr:col>4</xdr:col>
      <xdr:colOff>1272198</xdr:colOff>
      <xdr:row>41</xdr:row>
      <xdr:rowOff>309719</xdr:rowOff>
    </xdr:to>
    <xdr:sp macro="" textlink="Parameters!B17">
      <xdr:nvSpPr>
        <xdr:cNvPr id="22" name="Rectangle 21"/>
        <xdr:cNvSpPr/>
      </xdr:nvSpPr>
      <xdr:spPr>
        <a:xfrm>
          <a:off x="6117769" y="14181362"/>
          <a:ext cx="180000" cy="180000"/>
        </a:xfrm>
        <a:prstGeom prst="rect">
          <a:avLst/>
        </a:prstGeom>
        <a:solidFill>
          <a:schemeClr val="bg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C6649E6B-A329-4F57-8B60-AB99E2ED6461}" type="TxLink">
            <a:rPr lang="en-US" sz="1200" b="0" i="0" u="none" strike="noStrike" dirty="0" err="1" smtClean="0">
              <a:solidFill>
                <a:srgbClr val="0058B1"/>
              </a:solidFill>
              <a:latin typeface="Verdana"/>
              <a:ea typeface="Verdana"/>
            </a:rPr>
            <a:pPr algn="l"/>
            <a:t>Kypsyystaso 3</a:t>
          </a:fld>
          <a:endParaRPr lang="fi-FI" sz="1100" dirty="0" err="1" smtClean="0">
            <a:solidFill>
              <a:srgbClr val="0058B1"/>
            </a:solidFill>
            <a:latin typeface="+mj-lt"/>
          </a:endParaRPr>
        </a:p>
      </xdr:txBody>
    </xdr:sp>
    <xdr:clientData/>
  </xdr:twoCellAnchor>
  <xdr:twoCellAnchor>
    <xdr:from>
      <xdr:col>3</xdr:col>
      <xdr:colOff>3565071</xdr:colOff>
      <xdr:row>7</xdr:row>
      <xdr:rowOff>142416</xdr:rowOff>
    </xdr:from>
    <xdr:to>
      <xdr:col>3</xdr:col>
      <xdr:colOff>3745071</xdr:colOff>
      <xdr:row>7</xdr:row>
      <xdr:rowOff>322416</xdr:rowOff>
    </xdr:to>
    <xdr:sp macro="" textlink="Parameters!B11">
      <xdr:nvSpPr>
        <xdr:cNvPr id="23" name="Rectangle 22"/>
        <xdr:cNvSpPr/>
      </xdr:nvSpPr>
      <xdr:spPr>
        <a:xfrm>
          <a:off x="4091214" y="5394773"/>
          <a:ext cx="180000" cy="180000"/>
        </a:xfrm>
        <a:prstGeom prst="rect">
          <a:avLst/>
        </a:prstGeom>
        <a:solidFill>
          <a:srgbClr val="0058B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EEEF7064-1644-4025-A29A-507DA3849281}" type="TxLink">
            <a:rPr lang="en-US" sz="1100" b="0" i="0" u="none" strike="noStrike" dirty="0" err="1" smtClean="0">
              <a:solidFill>
                <a:srgbClr val="0058B1"/>
              </a:solidFill>
              <a:latin typeface="Verdana"/>
              <a:ea typeface="Verdana"/>
            </a:rPr>
            <a:pPr algn="l"/>
            <a:t>Organisaation nykytila</a:t>
          </a:fld>
          <a:endParaRPr lang="fi-FI" sz="2000" dirty="0" err="1" smtClean="0">
            <a:solidFill>
              <a:srgbClr val="0058B1"/>
            </a:solidFill>
            <a:latin typeface="+mj-lt"/>
          </a:endParaRPr>
        </a:p>
      </xdr:txBody>
    </xdr:sp>
    <xdr:clientData/>
  </xdr:twoCellAnchor>
  <xdr:twoCellAnchor>
    <xdr:from>
      <xdr:col>5</xdr:col>
      <xdr:colOff>429076</xdr:colOff>
      <xdr:row>7</xdr:row>
      <xdr:rowOff>142416</xdr:rowOff>
    </xdr:from>
    <xdr:to>
      <xdr:col>6</xdr:col>
      <xdr:colOff>110147</xdr:colOff>
      <xdr:row>7</xdr:row>
      <xdr:rowOff>322416</xdr:rowOff>
    </xdr:to>
    <xdr:sp macro="" textlink="Parameters!B12">
      <xdr:nvSpPr>
        <xdr:cNvPr id="24" name="Rectangle 23"/>
        <xdr:cNvSpPr/>
      </xdr:nvSpPr>
      <xdr:spPr>
        <a:xfrm>
          <a:off x="6842576" y="5394773"/>
          <a:ext cx="180000" cy="180000"/>
        </a:xfrm>
        <a:prstGeom prst="rect">
          <a:avLst/>
        </a:prstGeom>
        <a:solidFill>
          <a:schemeClr val="bg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0BF44093-533C-47FD-8E21-4107FA9DC163}" type="TxLink">
            <a:rPr lang="en-US" sz="1100" b="0" i="0" u="none" strike="noStrike" dirty="0" err="1" smtClean="0">
              <a:solidFill>
                <a:srgbClr val="0058B1"/>
              </a:solidFill>
              <a:latin typeface="Verdana"/>
              <a:ea typeface="Verdana"/>
            </a:rPr>
            <a:pPr algn="l"/>
            <a:t>Organisaation edellinen arviointi</a:t>
          </a:fld>
          <a:endParaRPr lang="fi-FI" sz="2000" dirty="0" err="1" smtClean="0">
            <a:solidFill>
              <a:srgbClr val="0058B1"/>
            </a:solidFill>
            <a:latin typeface="+mj-lt"/>
          </a:endParaRPr>
        </a:p>
      </xdr:txBody>
    </xdr:sp>
    <xdr:clientData/>
  </xdr:twoCellAnchor>
  <xdr:twoCellAnchor>
    <xdr:from>
      <xdr:col>6</xdr:col>
      <xdr:colOff>3225801</xdr:colOff>
      <xdr:row>7</xdr:row>
      <xdr:rowOff>142416</xdr:rowOff>
    </xdr:from>
    <xdr:to>
      <xdr:col>6</xdr:col>
      <xdr:colOff>3405801</xdr:colOff>
      <xdr:row>7</xdr:row>
      <xdr:rowOff>322416</xdr:rowOff>
    </xdr:to>
    <xdr:sp macro="" textlink="Parameters!B13">
      <xdr:nvSpPr>
        <xdr:cNvPr id="25" name="Rectangle 24"/>
        <xdr:cNvSpPr/>
      </xdr:nvSpPr>
      <xdr:spPr>
        <a:xfrm>
          <a:off x="10138230" y="5394773"/>
          <a:ext cx="180000" cy="1800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D0E14ED9-5FE7-42BC-A5F3-0B2E4847617D}" type="TxLink">
            <a:rPr lang="en-US" sz="1100" b="0" i="0" u="none" strike="noStrike" dirty="0" err="1" smtClean="0">
              <a:solidFill>
                <a:srgbClr val="0058B1"/>
              </a:solidFill>
              <a:latin typeface="Verdana"/>
              <a:ea typeface="Verdana"/>
            </a:rPr>
            <a:pPr algn="l"/>
            <a:t>Referenssiryhmän keskiarvo</a:t>
          </a:fld>
          <a:endParaRPr lang="fi-FI" sz="2000" dirty="0" err="1" smtClean="0">
            <a:solidFill>
              <a:srgbClr val="0058B1"/>
            </a:solidFill>
            <a:latin typeface="+mj-lt"/>
          </a:endParaRPr>
        </a:p>
      </xdr:txBody>
    </xdr:sp>
    <xdr:clientData/>
  </xdr:twoCellAnchor>
  <xdr:twoCellAnchor>
    <xdr:from>
      <xdr:col>7</xdr:col>
      <xdr:colOff>1152075</xdr:colOff>
      <xdr:row>6</xdr:row>
      <xdr:rowOff>2645225</xdr:rowOff>
    </xdr:from>
    <xdr:to>
      <xdr:col>8</xdr:col>
      <xdr:colOff>124146</xdr:colOff>
      <xdr:row>6</xdr:row>
      <xdr:rowOff>3005225</xdr:rowOff>
    </xdr:to>
    <xdr:sp macro="" textlink="">
      <xdr:nvSpPr>
        <xdr:cNvPr id="12" name="Rectangle 11"/>
        <xdr:cNvSpPr/>
      </xdr:nvSpPr>
      <xdr:spPr>
        <a:xfrm>
          <a:off x="12563932" y="4214582"/>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0</a:t>
          </a:r>
        </a:p>
      </xdr:txBody>
    </xdr:sp>
    <xdr:clientData/>
  </xdr:twoCellAnchor>
  <xdr:twoCellAnchor>
    <xdr:from>
      <xdr:col>7</xdr:col>
      <xdr:colOff>1152075</xdr:colOff>
      <xdr:row>6</xdr:row>
      <xdr:rowOff>1727196</xdr:rowOff>
    </xdr:from>
    <xdr:to>
      <xdr:col>8</xdr:col>
      <xdr:colOff>124146</xdr:colOff>
      <xdr:row>6</xdr:row>
      <xdr:rowOff>2087196</xdr:rowOff>
    </xdr:to>
    <xdr:sp macro="" textlink="">
      <xdr:nvSpPr>
        <xdr:cNvPr id="13" name="Rectangle 12"/>
        <xdr:cNvSpPr/>
      </xdr:nvSpPr>
      <xdr:spPr>
        <a:xfrm>
          <a:off x="12563932" y="3296553"/>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1</a:t>
          </a:r>
        </a:p>
      </xdr:txBody>
    </xdr:sp>
    <xdr:clientData/>
  </xdr:twoCellAnchor>
  <xdr:twoCellAnchor>
    <xdr:from>
      <xdr:col>7</xdr:col>
      <xdr:colOff>1152075</xdr:colOff>
      <xdr:row>6</xdr:row>
      <xdr:rowOff>754739</xdr:rowOff>
    </xdr:from>
    <xdr:to>
      <xdr:col>8</xdr:col>
      <xdr:colOff>124146</xdr:colOff>
      <xdr:row>6</xdr:row>
      <xdr:rowOff>1114739</xdr:rowOff>
    </xdr:to>
    <xdr:sp macro="" textlink="">
      <xdr:nvSpPr>
        <xdr:cNvPr id="14" name="Rectangle 13"/>
        <xdr:cNvSpPr/>
      </xdr:nvSpPr>
      <xdr:spPr>
        <a:xfrm>
          <a:off x="12563932" y="2324096"/>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2</a:t>
          </a:r>
        </a:p>
      </xdr:txBody>
    </xdr:sp>
    <xdr:clientData/>
  </xdr:twoCellAnchor>
  <xdr:twoCellAnchor>
    <xdr:from>
      <xdr:col>7</xdr:col>
      <xdr:colOff>1152075</xdr:colOff>
      <xdr:row>6</xdr:row>
      <xdr:rowOff>54426</xdr:rowOff>
    </xdr:from>
    <xdr:to>
      <xdr:col>8</xdr:col>
      <xdr:colOff>124146</xdr:colOff>
      <xdr:row>6</xdr:row>
      <xdr:rowOff>414426</xdr:rowOff>
    </xdr:to>
    <xdr:sp macro="" textlink="">
      <xdr:nvSpPr>
        <xdr:cNvPr id="16" name="Rectangle 15"/>
        <xdr:cNvSpPr/>
      </xdr:nvSpPr>
      <xdr:spPr>
        <a:xfrm>
          <a:off x="12563932" y="1623783"/>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3</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13</xdr:col>
      <xdr:colOff>428482</xdr:colOff>
      <xdr:row>2</xdr:row>
      <xdr:rowOff>54749</xdr:rowOff>
    </xdr:from>
    <xdr:ext cx="1680777" cy="382053"/>
    <xdr:pic>
      <xdr:nvPicPr>
        <xdr:cNvPr id="2" name="Picture 1"/>
        <xdr:cNvPicPr>
          <a:picLocks noChangeAspect="1"/>
        </xdr:cNvPicPr>
      </xdr:nvPicPr>
      <xdr:blipFill>
        <a:blip xmlns:r="http://schemas.openxmlformats.org/officeDocument/2006/relationships" r:embed="rId1"/>
        <a:stretch>
          <a:fillRect/>
        </a:stretch>
      </xdr:blipFill>
      <xdr:spPr>
        <a:xfrm>
          <a:off x="16101776" y="458161"/>
          <a:ext cx="1680777" cy="38205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2480235</xdr:colOff>
      <xdr:row>1</xdr:row>
      <xdr:rowOff>164352</xdr:rowOff>
    </xdr:from>
    <xdr:to>
      <xdr:col>10</xdr:col>
      <xdr:colOff>28389</xdr:colOff>
      <xdr:row>3</xdr:row>
      <xdr:rowOff>419</xdr:rowOff>
    </xdr:to>
    <xdr:pic>
      <xdr:nvPicPr>
        <xdr:cNvPr id="4" name="Picture 3"/>
        <xdr:cNvPicPr>
          <a:picLocks noChangeAspect="1"/>
        </xdr:cNvPicPr>
      </xdr:nvPicPr>
      <xdr:blipFill>
        <a:blip xmlns:r="http://schemas.openxmlformats.org/officeDocument/2006/relationships" r:embed="rId1"/>
        <a:stretch>
          <a:fillRect/>
        </a:stretch>
      </xdr:blipFill>
      <xdr:spPr>
        <a:xfrm>
          <a:off x="10018059" y="313764"/>
          <a:ext cx="1604683" cy="4748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2451100</xdr:colOff>
      <xdr:row>1</xdr:row>
      <xdr:rowOff>171450</xdr:rowOff>
    </xdr:from>
    <xdr:to>
      <xdr:col>10</xdr:col>
      <xdr:colOff>0</xdr:colOff>
      <xdr:row>3</xdr:row>
      <xdr:rowOff>7517</xdr:rowOff>
    </xdr:to>
    <xdr:pic>
      <xdr:nvPicPr>
        <xdr:cNvPr id="3" name="Picture 2"/>
        <xdr:cNvPicPr>
          <a:picLocks noChangeAspect="1"/>
        </xdr:cNvPicPr>
      </xdr:nvPicPr>
      <xdr:blipFill>
        <a:blip xmlns:r="http://schemas.openxmlformats.org/officeDocument/2006/relationships" r:embed="rId1"/>
        <a:stretch>
          <a:fillRect/>
        </a:stretch>
      </xdr:blipFill>
      <xdr:spPr>
        <a:xfrm>
          <a:off x="9994900" y="317500"/>
          <a:ext cx="1606550" cy="4710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2465294</xdr:colOff>
      <xdr:row>1</xdr:row>
      <xdr:rowOff>156882</xdr:rowOff>
    </xdr:from>
    <xdr:to>
      <xdr:col>10</xdr:col>
      <xdr:colOff>14194</xdr:colOff>
      <xdr:row>2</xdr:row>
      <xdr:rowOff>314184</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03118" y="306294"/>
          <a:ext cx="1605429" cy="4785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2435412</xdr:colOff>
      <xdr:row>1</xdr:row>
      <xdr:rowOff>179294</xdr:rowOff>
    </xdr:from>
    <xdr:to>
      <xdr:col>9</xdr:col>
      <xdr:colOff>4040841</xdr:colOff>
      <xdr:row>3</xdr:row>
      <xdr:rowOff>15361</xdr:rowOff>
    </xdr:to>
    <xdr:pic>
      <xdr:nvPicPr>
        <xdr:cNvPr id="4" name="Picture 3"/>
        <xdr:cNvPicPr>
          <a:picLocks noChangeAspect="1"/>
        </xdr:cNvPicPr>
      </xdr:nvPicPr>
      <xdr:blipFill>
        <a:blip xmlns:r="http://schemas.openxmlformats.org/officeDocument/2006/relationships" r:embed="rId1"/>
        <a:stretch>
          <a:fillRect/>
        </a:stretch>
      </xdr:blipFill>
      <xdr:spPr>
        <a:xfrm>
          <a:off x="9973236" y="328706"/>
          <a:ext cx="1605429" cy="4785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2495176</xdr:colOff>
      <xdr:row>1</xdr:row>
      <xdr:rowOff>179294</xdr:rowOff>
    </xdr:from>
    <xdr:to>
      <xdr:col>10</xdr:col>
      <xdr:colOff>44076</xdr:colOff>
      <xdr:row>3</xdr:row>
      <xdr:rowOff>15361</xdr:rowOff>
    </xdr:to>
    <xdr:pic>
      <xdr:nvPicPr>
        <xdr:cNvPr id="4" name="Picture 3"/>
        <xdr:cNvPicPr>
          <a:picLocks noChangeAspect="1"/>
        </xdr:cNvPicPr>
      </xdr:nvPicPr>
      <xdr:blipFill>
        <a:blip xmlns:r="http://schemas.openxmlformats.org/officeDocument/2006/relationships" r:embed="rId1"/>
        <a:stretch>
          <a:fillRect/>
        </a:stretch>
      </xdr:blipFill>
      <xdr:spPr>
        <a:xfrm>
          <a:off x="10033000" y="328706"/>
          <a:ext cx="1605429" cy="4785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2472765</xdr:colOff>
      <xdr:row>1</xdr:row>
      <xdr:rowOff>171824</xdr:rowOff>
    </xdr:from>
    <xdr:to>
      <xdr:col>10</xdr:col>
      <xdr:colOff>21665</xdr:colOff>
      <xdr:row>3</xdr:row>
      <xdr:rowOff>7891</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10589" y="321236"/>
          <a:ext cx="1605429" cy="4785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2457823</xdr:colOff>
      <xdr:row>1</xdr:row>
      <xdr:rowOff>186765</xdr:rowOff>
    </xdr:from>
    <xdr:to>
      <xdr:col>10</xdr:col>
      <xdr:colOff>6723</xdr:colOff>
      <xdr:row>3</xdr:row>
      <xdr:rowOff>22832</xdr:rowOff>
    </xdr:to>
    <xdr:pic>
      <xdr:nvPicPr>
        <xdr:cNvPr id="3" name="Picture 2"/>
        <xdr:cNvPicPr>
          <a:picLocks noChangeAspect="1"/>
        </xdr:cNvPicPr>
      </xdr:nvPicPr>
      <xdr:blipFill>
        <a:blip xmlns:r="http://schemas.openxmlformats.org/officeDocument/2006/relationships" r:embed="rId1"/>
        <a:stretch>
          <a:fillRect/>
        </a:stretch>
      </xdr:blipFill>
      <xdr:spPr>
        <a:xfrm>
          <a:off x="9995647" y="336177"/>
          <a:ext cx="1605429" cy="4785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2465294</xdr:colOff>
      <xdr:row>1</xdr:row>
      <xdr:rowOff>186765</xdr:rowOff>
    </xdr:from>
    <xdr:to>
      <xdr:col>10</xdr:col>
      <xdr:colOff>14194</xdr:colOff>
      <xdr:row>3</xdr:row>
      <xdr:rowOff>22832</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03118" y="336177"/>
          <a:ext cx="1605429" cy="478537"/>
        </a:xfrm>
        <a:prstGeom prst="rect">
          <a:avLst/>
        </a:prstGeom>
      </xdr:spPr>
    </xdr:pic>
    <xdr:clientData/>
  </xdr:twoCellAnchor>
</xdr:wsDr>
</file>

<file path=xl/tables/table1.xml><?xml version="1.0" encoding="utf-8"?>
<table xmlns="http://schemas.openxmlformats.org/spreadsheetml/2006/main" id="1" name="Table1" displayName="Table1" ref="N9:P413" tableType="xml" totalsRowShown="0" headerRowDxfId="47" dataDxfId="46" tableBorderDxfId="45" connectionId="1">
  <autoFilter ref="N9:P413"/>
  <tableColumns count="3">
    <tableColumn id="1" uniqueName="Practice" name="Practice" dataDxfId="44">
      <xmlColumnPr mapId="3" xpath="/data-set/record/Practice" xmlDataType="string"/>
    </tableColumn>
    <tableColumn id="2" uniqueName="Answer" name="Answer" dataDxfId="43">
      <xmlColumnPr mapId="3" xpath="/data-set/record/Answer" xmlDataType="integer"/>
    </tableColumn>
    <tableColumn id="3" uniqueName="3" name="Column1" dataDxfId="42">
      <calculatedColumnFormula>VLOOKUP($M10, INDIRECT("'"&amp;$L10&amp;"'!"&amp;"$D:$J"), 7,FALSE)</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2" name="Table2" displayName="Table2" ref="D11:E22" totalsRowShown="0" headerRowDxfId="41" dataDxfId="39" headerRowBorderDxfId="40" tableBorderDxfId="38">
  <autoFilter ref="D11:E22"/>
  <tableColumns count="2">
    <tableColumn id="1" name="Practice" dataDxfId="37"/>
    <tableColumn id="2" name="Answer" dataDxfId="36"/>
  </tableColumns>
  <tableStyleInfo name="TableStyleMedium20" showFirstColumn="0" showLastColumn="0" showRowStripes="1" showColumnStripes="0"/>
</table>
</file>

<file path=xl/tables/table3.xml><?xml version="1.0" encoding="utf-8"?>
<table xmlns="http://schemas.openxmlformats.org/spreadsheetml/2006/main" id="3" name="Table4" displayName="Table4" ref="H11:I22" totalsRowShown="0" headerRowDxfId="35" dataDxfId="33" headerRowBorderDxfId="34" tableBorderDxfId="32">
  <autoFilter ref="H11:I22"/>
  <tableColumns count="2">
    <tableColumn id="1" name="Practice" dataDxfId="31"/>
    <tableColumn id="2" name="Answer" dataDxfId="30"/>
  </tableColumns>
  <tableStyleInfo name="TableStyleMedium20" showFirstColumn="0" showLastColumn="0" showRowStripes="1" showColumnStripes="0"/>
</table>
</file>

<file path=xl/tables/table4.xml><?xml version="1.0" encoding="utf-8"?>
<table xmlns="http://schemas.openxmlformats.org/spreadsheetml/2006/main" id="4" name="Table5" displayName="Table5" ref="H26:I31" totalsRowShown="0" headerRowDxfId="29" dataDxfId="27" headerRowBorderDxfId="28" tableBorderDxfId="26">
  <autoFilter ref="H26:I31"/>
  <tableColumns count="2">
    <tableColumn id="1" name="Practice" dataDxfId="25"/>
    <tableColumn id="2" name="Answer" dataDxfId="24" dataCellStyle="Percent"/>
  </tableColumns>
  <tableStyleInfo name="TableStyleMedium20" showFirstColumn="0" showLastColumn="0" showRowStripes="1" showColumnStripes="0"/>
</table>
</file>

<file path=xl/tables/table5.xml><?xml version="1.0" encoding="utf-8"?>
<table xmlns="http://schemas.openxmlformats.org/spreadsheetml/2006/main" id="5" name="Table3" displayName="Table3" ref="D26:E31" totalsRowShown="0" headerRowDxfId="23" dataDxfId="21" headerRowBorderDxfId="22" tableBorderDxfId="20">
  <autoFilter ref="D26:E31"/>
  <tableColumns count="2">
    <tableColumn id="1" name="Practice" dataDxfId="19"/>
    <tableColumn id="2" name="Answer" dataDxfId="18" dataCellStyle="Percent"/>
  </tableColumns>
  <tableStyleInfo name="TableStyleMedium20" showFirstColumn="0" showLastColumn="0" showRowStripes="1" showColumnStripes="0"/>
</table>
</file>

<file path=xl/theme/theme1.xml><?xml version="1.0" encoding="utf-8"?>
<a:theme xmlns:a="http://schemas.openxmlformats.org/drawingml/2006/main" name="A) Traficom 1 su">
  <a:themeElements>
    <a:clrScheme name="Traficom">
      <a:dk1>
        <a:sysClr val="windowText" lastClr="000000"/>
      </a:dk1>
      <a:lt1>
        <a:sysClr val="window" lastClr="FFFFFF"/>
      </a:lt1>
      <a:dk2>
        <a:srgbClr val="018285"/>
      </a:dk2>
      <a:lt2>
        <a:srgbClr val="1C6BBA"/>
      </a:lt2>
      <a:accent1>
        <a:srgbClr val="00AEB2"/>
      </a:accent1>
      <a:accent2>
        <a:srgbClr val="018285"/>
      </a:accent2>
      <a:accent3>
        <a:srgbClr val="81D600"/>
      </a:accent3>
      <a:accent4>
        <a:srgbClr val="EC017F"/>
      </a:accent4>
      <a:accent5>
        <a:srgbClr val="0058B1"/>
      </a:accent5>
      <a:accent6>
        <a:srgbClr val="159637"/>
      </a:accent6>
      <a:hlink>
        <a:srgbClr val="0563C1"/>
      </a:hlink>
      <a:folHlink>
        <a:srgbClr val="954F72"/>
      </a:folHlink>
    </a:clrScheme>
    <a:fontScheme name="Mukautettu 1">
      <a:majorFont>
        <a:latin typeface="Verdana"/>
        <a:ea typeface=""/>
        <a:cs typeface=""/>
      </a:majorFont>
      <a:minorFont>
        <a:latin typeface="Verdana"/>
        <a:ea typeface=""/>
        <a:cs typeface=""/>
      </a:minorFont>
    </a:fontScheme>
    <a:fmtScheme name="Office-teem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00AEB2"/>
        </a:solidFill>
        <a:ln>
          <a:solidFill>
            <a:srgbClr val="00AEB2"/>
          </a:solidFill>
        </a:ln>
      </a:spPr>
      <a:bodyPr rtlCol="0" anchor="t"/>
      <a:lstStyle>
        <a:defPPr algn="ctr">
          <a:defRPr dirty="0" err="1" smtClean="0">
            <a:solidFill>
              <a:schemeClr val="bg1"/>
            </a:solidFill>
            <a:latin typeface="+mj-lt"/>
          </a:defRPr>
        </a:defPPr>
      </a:lstStyle>
      <a:style>
        <a:lnRef idx="2">
          <a:schemeClr val="accent1">
            <a:shade val="50000"/>
          </a:schemeClr>
        </a:lnRef>
        <a:fillRef idx="1">
          <a:schemeClr val="accent1"/>
        </a:fillRef>
        <a:effectRef idx="0">
          <a:schemeClr val="accent1"/>
        </a:effectRef>
        <a:fontRef idx="minor">
          <a:schemeClr val="lt1"/>
        </a:fontRef>
      </a:style>
    </a:spDef>
    <a:lnDef>
      <a:spPr>
        <a:ln w="31750">
          <a:solidFill>
            <a:srgbClr val="00AEB2"/>
          </a:solidFill>
        </a:ln>
      </a:spPr>
      <a:bodyPr/>
      <a:lstStyle/>
      <a:style>
        <a:lnRef idx="1">
          <a:schemeClr val="accent1"/>
        </a:lnRef>
        <a:fillRef idx="0">
          <a:schemeClr val="accent1"/>
        </a:fillRef>
        <a:effectRef idx="0">
          <a:schemeClr val="accent1"/>
        </a:effectRef>
        <a:fontRef idx="minor">
          <a:schemeClr val="tx1"/>
        </a:fontRef>
      </a:style>
    </a:lnDef>
    <a:txDef>
      <a:spPr>
        <a:solidFill>
          <a:srgbClr val="00AEB2"/>
        </a:solidFill>
      </a:spPr>
      <a:bodyPr wrap="none" rtlCol="0">
        <a:spAutoFit/>
      </a:bodyPr>
      <a:lstStyle>
        <a:defPPr algn="l">
          <a:defRPr dirty="0" err="1" smtClean="0">
            <a:solidFill>
              <a:schemeClr val="bg1"/>
            </a:solidFill>
          </a:defRPr>
        </a:defPPr>
      </a:lstStyle>
    </a:txDef>
  </a:objectDefaults>
  <a:extraClrSchemeLst/>
  <a:custClrLst>
    <a:custClr name="Traficom 1">
      <a:srgbClr val="00AEB2"/>
    </a:custClr>
    <a:custClr name="Traficom 2">
      <a:srgbClr val="018285"/>
    </a:custClr>
    <a:custClr name="Traficom 3">
      <a:srgbClr val="0058B1"/>
    </a:custClr>
    <a:custClr name="Traficom 4">
      <a:srgbClr val="159637"/>
    </a:custClr>
    <a:custClr name="Traficom 5">
      <a:srgbClr val="81D600"/>
    </a:custClr>
    <a:custClr name="Traficom 6">
      <a:srgbClr val="009EFF"/>
    </a:custClr>
    <a:custClr name="Traficom 7">
      <a:srgbClr val="0066CC"/>
    </a:custClr>
    <a:custClr name="Traficom 8">
      <a:srgbClr val="EC017F"/>
    </a:custClr>
    <a:custClr name="Traficom 9">
      <a:srgbClr val="E90008"/>
    </a:custClr>
    <a:custClr name="Traficom 10">
      <a:srgbClr val="FF7D00"/>
    </a:custClr>
    <a:custClr name="Traficom 11">
      <a:srgbClr val="FFD400"/>
    </a:custClr>
    <a:custClr name="Traficom 12">
      <a:srgbClr val="056805"/>
    </a:custClr>
    <a:custClr name="Traficom 13">
      <a:srgbClr val="026273"/>
    </a:custClr>
    <a:custClr name="Traficom 14">
      <a:srgbClr val="002C74"/>
    </a:custClr>
    <a:custClr name="Traficom 15">
      <a:srgbClr val="820084"/>
    </a:custClr>
    <a:custClr name="Traficom 16">
      <a:srgbClr val="9E003B"/>
    </a:custClr>
  </a:custClrLst>
  <a:extLst>
    <a:ext uri="{05A4C25C-085E-4340-85A3-A5531E510DB2}">
      <thm15:themeFamily xmlns:thm15="http://schemas.microsoft.com/office/thememl/2012/main" name="A) Traficom 1 su" id="{417F7FBC-8D82-49A1-8EC6-4B6731C85255}" vid="{FB2437AC-8BEC-40D3-B6CF-A3569723B9A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58B1"/>
  </sheetPr>
  <dimension ref="A1:W44"/>
  <sheetViews>
    <sheetView showGridLines="0" zoomScaleNormal="100" workbookViewId="0">
      <selection activeCell="E11" sqref="E11:F11"/>
    </sheetView>
  </sheetViews>
  <sheetFormatPr defaultColWidth="9.2109375" defaultRowHeight="13.5" x14ac:dyDescent="0.25"/>
  <cols>
    <col min="1" max="2" width="1.640625" style="433" customWidth="1"/>
    <col min="3" max="3" width="3.640625" style="434" customWidth="1"/>
    <col min="4" max="4" width="14.640625" style="433" customWidth="1"/>
    <col min="5" max="5" width="30.640625" style="433" customWidth="1"/>
    <col min="6" max="6" width="6.640625" style="433" customWidth="1"/>
    <col min="7" max="7" width="3.640625" style="435" customWidth="1"/>
    <col min="8" max="8" width="14.640625" style="433" customWidth="1"/>
    <col min="9" max="9" width="30.640625" style="433" customWidth="1"/>
    <col min="10" max="10" width="6.640625" style="433" customWidth="1"/>
    <col min="11" max="11" width="3.640625" style="433" customWidth="1"/>
    <col min="12" max="15" width="1.640625" style="433" customWidth="1"/>
    <col min="16" max="16" width="0.78515625" style="433" customWidth="1"/>
    <col min="17" max="17" width="9.2109375" style="433" customWidth="1"/>
    <col min="18" max="23" width="9.2109375" style="436"/>
    <col min="24" max="16384" width="9.2109375" style="433"/>
  </cols>
  <sheetData>
    <row r="1" spans="1:23" s="303" customFormat="1" ht="11.5" x14ac:dyDescent="0.25">
      <c r="A1" s="297"/>
      <c r="B1" s="297"/>
      <c r="C1" s="298"/>
      <c r="D1" s="297"/>
      <c r="E1" s="297"/>
      <c r="F1" s="297"/>
      <c r="G1" s="299"/>
      <c r="H1" s="297"/>
      <c r="I1" s="299"/>
      <c r="J1" s="299"/>
      <c r="K1" s="299"/>
      <c r="L1" s="297"/>
      <c r="M1" s="297"/>
      <c r="N1" s="300"/>
      <c r="O1" s="297"/>
      <c r="P1" s="301"/>
      <c r="Q1" s="301"/>
      <c r="R1" s="302"/>
      <c r="S1" s="302"/>
      <c r="T1" s="302"/>
      <c r="U1" s="302"/>
      <c r="V1" s="302"/>
      <c r="W1" s="302"/>
    </row>
    <row r="2" spans="1:23" s="314" customFormat="1" ht="11.5" x14ac:dyDescent="0.2">
      <c r="A2" s="304"/>
      <c r="B2" s="305"/>
      <c r="C2" s="306"/>
      <c r="D2" s="307"/>
      <c r="E2" s="307"/>
      <c r="F2" s="308"/>
      <c r="G2" s="309"/>
      <c r="H2" s="308"/>
      <c r="I2" s="308"/>
      <c r="J2" s="308"/>
      <c r="K2" s="308"/>
      <c r="L2" s="310"/>
      <c r="M2" s="304"/>
      <c r="N2" s="311"/>
      <c r="O2" s="304"/>
      <c r="P2" s="312"/>
      <c r="Q2" s="312"/>
      <c r="R2" s="313"/>
      <c r="S2" s="313"/>
      <c r="T2" s="313"/>
      <c r="U2" s="313"/>
      <c r="V2" s="313"/>
      <c r="W2" s="313"/>
    </row>
    <row r="3" spans="1:23" s="314" customFormat="1" ht="18" customHeight="1" x14ac:dyDescent="0.3">
      <c r="A3" s="304"/>
      <c r="B3" s="315"/>
      <c r="C3" s="316" t="s">
        <v>513</v>
      </c>
      <c r="F3" s="317"/>
      <c r="G3" s="318"/>
      <c r="H3" s="319" t="str">
        <f>IF(VLOOKUP("GEN-SEC",Languages!$A:$D,1,TRUE)="GEN-SEC",VLOOKUP("GEN-SEC",Languages!$A:$D,Kybermittari!$C$7,TRUE),NA())</f>
        <v>Tiedon luokittelu</v>
      </c>
      <c r="I3" s="317"/>
      <c r="J3" s="317"/>
      <c r="K3" s="317"/>
      <c r="L3" s="320"/>
      <c r="M3" s="304"/>
      <c r="N3" s="311"/>
      <c r="O3" s="304"/>
      <c r="P3" s="312"/>
      <c r="Q3" s="312"/>
      <c r="R3" s="313"/>
      <c r="S3" s="313"/>
      <c r="T3" s="313"/>
      <c r="U3" s="313"/>
      <c r="V3" s="313"/>
      <c r="W3" s="313"/>
    </row>
    <row r="4" spans="1:23" s="314" customFormat="1" ht="20" customHeight="1" x14ac:dyDescent="0.35">
      <c r="A4" s="304"/>
      <c r="B4" s="315"/>
      <c r="C4" s="321" t="str">
        <f>IF(VLOOKUP($C$3,Languages!$A:$D,1,TRUE)=$C$3,VLOOKUP($C$3,Languages!$A:$D,Kybermittari!$C$7,TRUE),NA())</f>
        <v>Kyberturvallisuuden arviointityökalu</v>
      </c>
      <c r="E4" s="322"/>
      <c r="F4" s="317"/>
      <c r="G4" s="318"/>
      <c r="H4" s="437"/>
      <c r="I4" s="317"/>
      <c r="J4" s="317"/>
      <c r="K4" s="317"/>
      <c r="L4" s="320"/>
      <c r="M4" s="304"/>
      <c r="N4" s="311"/>
      <c r="O4" s="304"/>
      <c r="P4" s="312"/>
      <c r="Q4" s="312"/>
      <c r="R4" s="313"/>
      <c r="S4" s="313"/>
      <c r="T4" s="313"/>
      <c r="U4" s="313"/>
      <c r="V4" s="313"/>
      <c r="W4" s="313"/>
    </row>
    <row r="5" spans="1:23" s="303" customFormat="1" ht="10" customHeight="1" x14ac:dyDescent="0.25">
      <c r="A5" s="297"/>
      <c r="B5" s="323"/>
      <c r="C5" s="324"/>
      <c r="D5" s="325"/>
      <c r="E5" s="325"/>
      <c r="F5" s="325"/>
      <c r="G5" s="326"/>
      <c r="H5" s="325"/>
      <c r="I5" s="326"/>
      <c r="J5" s="326"/>
      <c r="K5" s="326"/>
      <c r="L5" s="327"/>
      <c r="M5" s="297"/>
      <c r="N5" s="300"/>
      <c r="O5" s="297"/>
      <c r="P5" s="301"/>
      <c r="Q5" s="301"/>
      <c r="R5" s="302"/>
      <c r="S5" s="302"/>
      <c r="T5" s="302"/>
      <c r="U5" s="302"/>
      <c r="V5" s="302"/>
      <c r="W5" s="302"/>
    </row>
    <row r="6" spans="1:23" s="303" customFormat="1" ht="107.5" customHeight="1" thickBot="1" x14ac:dyDescent="0.3">
      <c r="A6" s="297"/>
      <c r="B6" s="323"/>
      <c r="C6" s="736" t="str">
        <f>IF(VLOOKUP(CONCATENATE(C3,"-0"),Languages!$A:$D,1,TRUE)=CONCATENATE(C3,"-0"),VLOOKUP(CONCATENATE(C3,"-0"),Languages!$A:$D,Kybermittari!$C$7,TRUE),NA())</f>
        <v>Kybermittarin arviointityökalu auttaa organisaatioita muodostamaan kyberturvallisuuden tilannekuvan ja ohjaamaan kyberturvallisuuden kehitystoimintaa. Työkalu koostuu tästä arviointityökalusta ja sen käyttöohjeesta. Kybermittarissa hyödynnetään suoraan Yhdysvaltain Energiaviraston C2M2-mallin kymmentä kyberturvallisuuden osiota englanninkielisine teksteineen. Arviointityökalun versio on 1.0.
Kybermittarin arviointityökalu, käyttöohje ja käyttöehdot ovat saatavilla osoitteesta www.Kybermittari.fi. Tutustuthan Kybermittarin käyttöohjeeseen ja käyttöehtoihin ennen mittarin käyttöönottoa.</v>
      </c>
      <c r="D6" s="736"/>
      <c r="E6" s="736"/>
      <c r="F6" s="736"/>
      <c r="G6" s="736"/>
      <c r="H6" s="736"/>
      <c r="I6" s="736"/>
      <c r="J6" s="736"/>
      <c r="K6" s="328"/>
      <c r="L6" s="327"/>
      <c r="M6" s="297"/>
      <c r="N6" s="300"/>
      <c r="O6" s="297"/>
      <c r="P6" s="301"/>
      <c r="Q6" s="301"/>
      <c r="R6" s="302"/>
      <c r="S6" s="302"/>
      <c r="T6" s="302"/>
      <c r="U6" s="302"/>
      <c r="V6" s="302"/>
      <c r="W6" s="302"/>
    </row>
    <row r="7" spans="1:23" s="303" customFormat="1" ht="18" customHeight="1" thickBot="1" x14ac:dyDescent="0.3">
      <c r="A7" s="297"/>
      <c r="B7" s="323"/>
      <c r="C7" s="329">
        <f>MATCH(D7,Languages!1:1,0)</f>
        <v>3</v>
      </c>
      <c r="D7" s="728" t="s">
        <v>1275</v>
      </c>
      <c r="E7" s="731" t="s">
        <v>1278</v>
      </c>
      <c r="F7" s="732"/>
      <c r="G7" s="330"/>
      <c r="H7" s="331"/>
      <c r="I7" s="331"/>
      <c r="J7" s="331"/>
      <c r="K7" s="331"/>
      <c r="L7" s="327"/>
      <c r="M7" s="297"/>
      <c r="N7" s="300"/>
      <c r="O7" s="297"/>
      <c r="P7" s="301"/>
      <c r="Q7" s="301"/>
      <c r="R7" s="302"/>
      <c r="S7" s="302"/>
      <c r="T7" s="302"/>
      <c r="U7" s="302"/>
      <c r="V7" s="302"/>
      <c r="W7" s="302"/>
    </row>
    <row r="8" spans="1:23" s="303" customFormat="1" ht="10" customHeight="1" x14ac:dyDescent="0.25">
      <c r="A8" s="297"/>
      <c r="B8" s="323"/>
      <c r="C8" s="329"/>
      <c r="D8" s="319"/>
      <c r="E8" s="319"/>
      <c r="F8" s="319"/>
      <c r="G8" s="330"/>
      <c r="H8" s="331"/>
      <c r="I8" s="331"/>
      <c r="J8" s="331"/>
      <c r="K8" s="331"/>
      <c r="L8" s="327"/>
      <c r="M8" s="297"/>
      <c r="N8" s="300"/>
      <c r="O8" s="297"/>
      <c r="P8" s="301"/>
      <c r="Q8" s="301"/>
      <c r="R8" s="302"/>
      <c r="S8" s="302"/>
      <c r="T8" s="302"/>
      <c r="U8" s="302"/>
      <c r="V8" s="302"/>
      <c r="W8" s="302"/>
    </row>
    <row r="9" spans="1:23" s="343" customFormat="1" ht="25" customHeight="1" x14ac:dyDescent="0.25">
      <c r="A9" s="332"/>
      <c r="B9" s="333"/>
      <c r="C9" s="334">
        <v>10</v>
      </c>
      <c r="D9" s="335" t="str">
        <f>IF(VLOOKUP(CONCATENATE($C$3,"-",C9),Languages!$A:$D,1,TRUE)=CONCATENATE($C$3,"-",C9),VLOOKUP(CONCATENATE($C$3,"-",C9),Languages!$A:$D,Kybermittari!$C$7,TRUE),NA())</f>
        <v>Organisaatio</v>
      </c>
      <c r="E9" s="336"/>
      <c r="F9" s="336"/>
      <c r="G9" s="337"/>
      <c r="H9" s="336"/>
      <c r="I9" s="336" t="str">
        <f>IFERROR(INT(LEFT(#REF!,1)),"")</f>
        <v/>
      </c>
      <c r="J9" s="336"/>
      <c r="K9" s="338"/>
      <c r="L9" s="339"/>
      <c r="M9" s="340"/>
      <c r="N9" s="300"/>
      <c r="O9" s="340"/>
      <c r="P9" s="341"/>
      <c r="Q9" s="341"/>
      <c r="R9" s="342"/>
      <c r="S9" s="342"/>
      <c r="T9" s="342"/>
      <c r="U9" s="342"/>
      <c r="V9" s="342"/>
      <c r="W9" s="342"/>
    </row>
    <row r="10" spans="1:23" s="351" customFormat="1" ht="10" customHeight="1" x14ac:dyDescent="0.25">
      <c r="A10" s="344"/>
      <c r="B10" s="345"/>
      <c r="C10" s="741"/>
      <c r="D10" s="741"/>
      <c r="E10" s="741"/>
      <c r="F10" s="741"/>
      <c r="G10" s="741"/>
      <c r="H10" s="741"/>
      <c r="I10" s="741"/>
      <c r="J10" s="741"/>
      <c r="K10" s="331"/>
      <c r="L10" s="346"/>
      <c r="M10" s="347"/>
      <c r="N10" s="348"/>
      <c r="O10" s="347"/>
      <c r="P10" s="349"/>
      <c r="Q10" s="349"/>
      <c r="R10" s="350"/>
      <c r="S10" s="350"/>
      <c r="T10" s="350"/>
      <c r="U10" s="350"/>
      <c r="V10" s="350"/>
      <c r="W10" s="350"/>
    </row>
    <row r="11" spans="1:23" s="351" customFormat="1" ht="18" customHeight="1" x14ac:dyDescent="0.25">
      <c r="A11" s="344"/>
      <c r="B11" s="352">
        <v>11</v>
      </c>
      <c r="C11" s="353">
        <f>IF(OR(ISBLANK(E11),ISBLANK(#REF!),ISBLANK(E13)),0,1)</f>
        <v>0</v>
      </c>
      <c r="D11" s="331" t="str">
        <f>IF(VLOOKUP(CONCATENATE($C$3,"-",B11),Languages!$A:$D,1,TRUE)=CONCATENATE($C$3,"-",B11),VLOOKUP(CONCATENATE($C$3,"-",B11),Languages!$A:$D,Kybermittari!$C$7,TRUE),NA())</f>
        <v>Nimi</v>
      </c>
      <c r="E11" s="744"/>
      <c r="F11" s="744"/>
      <c r="G11" s="354">
        <f>IF(OR(ISBLANK(I11),ISBLANK(I13),ISBLANK(#REF!)),0,1)</f>
        <v>0</v>
      </c>
      <c r="H11" s="331" t="str">
        <f>IF(VLOOKUP(CONCATENATE($C$3,"-",L11),Languages!$A:$D,1,TRUE)=CONCATENATE($C$3,"-",L11),VLOOKUP(CONCATENATE($C$3,"-",L11),Languages!$A:$D,Kybermittari!$C$7,TRUE),NA())</f>
        <v>Yhteyshenkilö</v>
      </c>
      <c r="I11" s="744"/>
      <c r="J11" s="744"/>
      <c r="K11" s="355"/>
      <c r="L11" s="356">
        <v>14</v>
      </c>
      <c r="M11" s="344"/>
      <c r="N11" s="348"/>
      <c r="O11" s="344"/>
      <c r="P11" s="349"/>
      <c r="Q11" s="349"/>
      <c r="R11" s="350"/>
      <c r="S11" s="350"/>
      <c r="T11" s="350"/>
      <c r="U11" s="350"/>
      <c r="V11" s="350"/>
      <c r="W11" s="350"/>
    </row>
    <row r="12" spans="1:23" s="351" customFormat="1" ht="18" customHeight="1" x14ac:dyDescent="0.25">
      <c r="A12" s="344"/>
      <c r="B12" s="352">
        <v>12</v>
      </c>
      <c r="C12" s="353"/>
      <c r="D12" s="331" t="str">
        <f>IF(VLOOKUP(CONCATENATE($C$3,"-",B12),Languages!$A:$D,1,TRUE)=CONCATENATE($C$3,"-",B12),VLOOKUP(CONCATENATE($C$3,"-",B12),Languages!$A:$D,Kybermittari!$C$7,TRUE),NA())</f>
        <v>Toimiala</v>
      </c>
      <c r="E12" s="739"/>
      <c r="F12" s="739"/>
      <c r="G12" s="357"/>
      <c r="H12" s="358"/>
      <c r="I12" s="739"/>
      <c r="J12" s="739"/>
      <c r="K12" s="355"/>
      <c r="L12" s="356"/>
      <c r="M12" s="344"/>
      <c r="N12" s="348"/>
      <c r="O12" s="344"/>
      <c r="P12" s="349"/>
      <c r="Q12" s="349"/>
      <c r="R12" s="350"/>
      <c r="S12" s="350"/>
      <c r="T12" s="350"/>
      <c r="U12" s="350"/>
      <c r="V12" s="350"/>
      <c r="W12" s="350"/>
    </row>
    <row r="13" spans="1:23" s="351" customFormat="1" ht="18" customHeight="1" x14ac:dyDescent="0.25">
      <c r="A13" s="344"/>
      <c r="B13" s="352">
        <v>13</v>
      </c>
      <c r="C13" s="353"/>
      <c r="D13" s="331" t="str">
        <f>IF(VLOOKUP(CONCATENATE($C$3,"-",B13),Languages!$A:$D,1,TRUE)=CONCATENATE($C$3,"-",B13),VLOOKUP(CONCATENATE($C$3,"-",B13),Languages!$A:$D,Kybermittari!$C$7,TRUE),NA())</f>
        <v>Toiminto</v>
      </c>
      <c r="E13" s="739"/>
      <c r="F13" s="739"/>
      <c r="G13" s="357"/>
      <c r="H13" s="331" t="str">
        <f>IF(VLOOKUP(CONCATENATE($C$3,"-",L13),Languages!$A:$D,1,TRUE)=CONCATENATE($C$3,"-",L13),VLOOKUP(CONCATENATE($C$3,"-",L13),Languages!$A:$D,Kybermittari!$C$7,TRUE),NA())</f>
        <v>Arvioinnin vetäjä</v>
      </c>
      <c r="I13" s="739"/>
      <c r="J13" s="739"/>
      <c r="K13" s="355"/>
      <c r="L13" s="356">
        <v>15</v>
      </c>
      <c r="M13" s="344"/>
      <c r="N13" s="348"/>
      <c r="O13" s="344"/>
      <c r="P13" s="349"/>
      <c r="Q13" s="349"/>
      <c r="R13" s="350"/>
      <c r="S13" s="350"/>
      <c r="T13" s="350"/>
      <c r="U13" s="350"/>
      <c r="V13" s="350"/>
      <c r="W13" s="350"/>
    </row>
    <row r="14" spans="1:23" s="343" customFormat="1" ht="10" customHeight="1" x14ac:dyDescent="0.25">
      <c r="A14" s="332"/>
      <c r="B14" s="359"/>
      <c r="C14" s="360"/>
      <c r="D14" s="361"/>
      <c r="E14" s="361"/>
      <c r="F14" s="362"/>
      <c r="G14" s="357"/>
      <c r="H14" s="331"/>
      <c r="I14" s="361"/>
      <c r="J14" s="361"/>
      <c r="K14" s="361"/>
      <c r="L14" s="363"/>
      <c r="M14" s="332"/>
      <c r="N14" s="348"/>
      <c r="O14" s="332"/>
      <c r="P14" s="341"/>
      <c r="Q14" s="341"/>
      <c r="R14" s="342"/>
      <c r="S14" s="342"/>
      <c r="T14" s="342"/>
      <c r="U14" s="342"/>
      <c r="V14" s="342"/>
      <c r="W14" s="342"/>
    </row>
    <row r="15" spans="1:23" s="372" customFormat="1" ht="20" customHeight="1" x14ac:dyDescent="0.25">
      <c r="A15" s="347"/>
      <c r="B15" s="364">
        <v>16</v>
      </c>
      <c r="C15" s="353">
        <f>IF(ISBLANK(D16),0,1)</f>
        <v>0</v>
      </c>
      <c r="D15" s="365" t="str">
        <f>IF(VLOOKUP(CONCATENATE($C$3,"-",B15),Languages!$A:$D,1,TRUE)=CONCATENATE($C$3,"-",B15),VLOOKUP(CONCATENATE($C$3,"-",B15),Languages!$A:$D,Kybermittari!$C$7,TRUE),NA())</f>
        <v>Kuvaus arvioitavasta toiminnan osa-alueesta</v>
      </c>
      <c r="E15" s="366"/>
      <c r="F15" s="366"/>
      <c r="G15" s="367"/>
      <c r="H15" s="366"/>
      <c r="I15" s="368"/>
      <c r="J15" s="368"/>
      <c r="K15" s="368"/>
      <c r="L15" s="369"/>
      <c r="M15" s="347"/>
      <c r="N15" s="348"/>
      <c r="O15" s="347"/>
      <c r="P15" s="370"/>
      <c r="Q15" s="370"/>
      <c r="R15" s="371"/>
      <c r="S15" s="371"/>
      <c r="T15" s="371"/>
      <c r="U15" s="371"/>
      <c r="V15" s="371"/>
      <c r="W15" s="371"/>
    </row>
    <row r="16" spans="1:23" s="372" customFormat="1" ht="75" customHeight="1" x14ac:dyDescent="0.25">
      <c r="A16" s="347"/>
      <c r="B16" s="373"/>
      <c r="C16" s="353"/>
      <c r="D16" s="733"/>
      <c r="E16" s="734"/>
      <c r="F16" s="734"/>
      <c r="G16" s="734"/>
      <c r="H16" s="734"/>
      <c r="I16" s="734"/>
      <c r="J16" s="735"/>
      <c r="K16" s="374"/>
      <c r="L16" s="369"/>
      <c r="M16" s="347"/>
      <c r="N16" s="348"/>
      <c r="O16" s="347"/>
      <c r="P16" s="370"/>
      <c r="Q16" s="370"/>
      <c r="R16" s="371"/>
      <c r="S16" s="371"/>
      <c r="T16" s="371"/>
      <c r="U16" s="371"/>
      <c r="V16" s="371"/>
      <c r="W16" s="371"/>
    </row>
    <row r="17" spans="1:23" s="372" customFormat="1" ht="10" customHeight="1" x14ac:dyDescent="0.25">
      <c r="A17" s="347"/>
      <c r="B17" s="373"/>
      <c r="C17" s="353"/>
      <c r="D17" s="375"/>
      <c r="E17" s="375"/>
      <c r="F17" s="375"/>
      <c r="G17" s="376"/>
      <c r="H17" s="375"/>
      <c r="I17" s="375"/>
      <c r="J17" s="375"/>
      <c r="K17" s="375"/>
      <c r="L17" s="369"/>
      <c r="M17" s="347"/>
      <c r="N17" s="348"/>
      <c r="O17" s="347"/>
      <c r="P17" s="370"/>
      <c r="Q17" s="370"/>
      <c r="R17" s="371"/>
      <c r="S17" s="371"/>
      <c r="T17" s="371"/>
      <c r="U17" s="371"/>
      <c r="V17" s="371"/>
      <c r="W17" s="371"/>
    </row>
    <row r="18" spans="1:23" s="372" customFormat="1" ht="28" customHeight="1" x14ac:dyDescent="0.25">
      <c r="A18" s="347"/>
      <c r="B18" s="364">
        <v>17</v>
      </c>
      <c r="C18" s="353">
        <f>IF(ISBLANK(D20),0,1)</f>
        <v>0</v>
      </c>
      <c r="D18" s="377" t="str">
        <f>IF(VLOOKUP(CONCATENATE($C$3,"-",B18),Languages!$A:$D,1,TRUE)=CONCATENATE($C$3,"-",B18),VLOOKUP(CONCATENATE($C$3,"-",B18),Languages!$A:$D,Kybermittari!$C$7,TRUE),NA())</f>
        <v>Toiminnan osa-alueen yhteiskunnallinen vaikuttavuus</v>
      </c>
      <c r="E18" s="377"/>
      <c r="F18" s="377"/>
      <c r="G18" s="368"/>
      <c r="H18" s="378"/>
      <c r="I18" s="378"/>
      <c r="J18" s="378"/>
      <c r="K18" s="378"/>
      <c r="L18" s="369"/>
      <c r="M18" s="347"/>
      <c r="N18" s="348"/>
      <c r="O18" s="347"/>
      <c r="P18" s="370"/>
      <c r="Q18" s="370"/>
      <c r="R18" s="371"/>
      <c r="S18" s="371"/>
      <c r="T18" s="371"/>
      <c r="U18" s="371"/>
      <c r="V18" s="371"/>
      <c r="W18" s="371"/>
    </row>
    <row r="19" spans="1:23" s="372" customFormat="1" ht="27.5" customHeight="1" x14ac:dyDescent="0.25">
      <c r="A19" s="347"/>
      <c r="B19" s="373"/>
      <c r="C19" s="353"/>
      <c r="D19" s="740"/>
      <c r="E19" s="740"/>
      <c r="F19" s="366"/>
      <c r="G19" s="368"/>
      <c r="H19" s="378"/>
      <c r="I19" s="378"/>
      <c r="J19" s="378"/>
      <c r="K19" s="378"/>
      <c r="L19" s="369"/>
      <c r="M19" s="347"/>
      <c r="N19" s="348"/>
      <c r="O19" s="347"/>
      <c r="P19" s="370"/>
      <c r="Q19" s="370"/>
      <c r="R19" s="371"/>
      <c r="S19" s="371"/>
      <c r="T19" s="371"/>
      <c r="U19" s="371"/>
      <c r="V19" s="371"/>
      <c r="W19" s="371"/>
    </row>
    <row r="20" spans="1:23" s="372" customFormat="1" ht="20" customHeight="1" x14ac:dyDescent="0.25">
      <c r="A20" s="347"/>
      <c r="B20" s="373"/>
      <c r="C20" s="353"/>
      <c r="D20" s="733"/>
      <c r="E20" s="734"/>
      <c r="F20" s="734"/>
      <c r="G20" s="734"/>
      <c r="H20" s="734"/>
      <c r="I20" s="734"/>
      <c r="J20" s="735"/>
      <c r="K20" s="374"/>
      <c r="L20" s="369"/>
      <c r="M20" s="347"/>
      <c r="N20" s="348"/>
      <c r="O20" s="347"/>
      <c r="P20" s="370"/>
      <c r="Q20" s="370"/>
      <c r="R20" s="371"/>
      <c r="S20" s="371"/>
      <c r="T20" s="371"/>
      <c r="U20" s="371"/>
      <c r="V20" s="371"/>
      <c r="W20" s="371"/>
    </row>
    <row r="21" spans="1:23" s="372" customFormat="1" ht="10" customHeight="1" x14ac:dyDescent="0.25">
      <c r="A21" s="347"/>
      <c r="B21" s="373"/>
      <c r="C21" s="353"/>
      <c r="D21" s="379"/>
      <c r="E21" s="379"/>
      <c r="F21" s="366"/>
      <c r="G21" s="368"/>
      <c r="H21" s="378"/>
      <c r="I21" s="378"/>
      <c r="J21" s="378"/>
      <c r="K21" s="378"/>
      <c r="L21" s="369"/>
      <c r="M21" s="347"/>
      <c r="N21" s="348"/>
      <c r="O21" s="347"/>
      <c r="P21" s="370"/>
      <c r="Q21" s="370"/>
      <c r="R21" s="371"/>
      <c r="S21" s="371"/>
      <c r="T21" s="371"/>
      <c r="U21" s="371"/>
      <c r="V21" s="371"/>
      <c r="W21" s="371"/>
    </row>
    <row r="22" spans="1:23" s="343" customFormat="1" ht="25" customHeight="1" x14ac:dyDescent="0.25">
      <c r="A22" s="332"/>
      <c r="B22" s="333"/>
      <c r="C22" s="334">
        <v>20</v>
      </c>
      <c r="D22" s="335" t="str">
        <f>IF(VLOOKUP(CONCATENATE($C$3,"-",C22),Languages!$A:$D,1,TRUE)=CONCATENATE($C$3,"-",C22),VLOOKUP(CONCATENATE($C$3,"-",C22),Languages!$A:$D,Kybermittari!$C$7,TRUE),NA())</f>
        <v>Kyberturvallisuuden arviointi</v>
      </c>
      <c r="E22" s="336"/>
      <c r="F22" s="336"/>
      <c r="G22" s="337"/>
      <c r="H22" s="336"/>
      <c r="I22" s="336" t="str">
        <f>IFERROR(INT(LEFT(#REF!,1)),"")</f>
        <v/>
      </c>
      <c r="J22" s="336"/>
      <c r="K22" s="338"/>
      <c r="L22" s="339"/>
      <c r="M22" s="340"/>
      <c r="N22" s="300"/>
      <c r="O22" s="340"/>
      <c r="P22" s="341"/>
      <c r="Q22" s="370"/>
      <c r="R22" s="342"/>
      <c r="S22" s="342"/>
      <c r="T22" s="342"/>
      <c r="U22" s="342"/>
      <c r="V22" s="342"/>
      <c r="W22" s="342"/>
    </row>
    <row r="23" spans="1:23" s="351" customFormat="1" ht="10" customHeight="1" x14ac:dyDescent="0.25">
      <c r="A23" s="344"/>
      <c r="B23" s="345"/>
      <c r="C23" s="736"/>
      <c r="D23" s="736"/>
      <c r="E23" s="736"/>
      <c r="F23" s="736"/>
      <c r="G23" s="736"/>
      <c r="H23" s="736"/>
      <c r="I23" s="736"/>
      <c r="J23" s="736"/>
      <c r="K23" s="331"/>
      <c r="L23" s="346"/>
      <c r="M23" s="347"/>
      <c r="N23" s="348"/>
      <c r="O23" s="347"/>
      <c r="P23" s="349"/>
      <c r="Q23" s="349"/>
      <c r="R23" s="350"/>
      <c r="S23" s="350"/>
      <c r="T23" s="350"/>
      <c r="U23" s="350"/>
      <c r="V23" s="350"/>
      <c r="W23" s="350"/>
    </row>
    <row r="24" spans="1:23" s="343" customFormat="1" ht="20" customHeight="1" x14ac:dyDescent="0.3">
      <c r="A24" s="332"/>
      <c r="B24" s="380">
        <v>21</v>
      </c>
      <c r="C24" s="381">
        <f ca="1">SUM(C26:C31)+SUM(G27:G31)</f>
        <v>325</v>
      </c>
      <c r="D24" s="338" t="str">
        <f>IF(VLOOKUP(CONCATENATE($C$3,"-",B24),Languages!$A:$D,1,TRUE)=CONCATENATE($C$3,"-",B24),VLOOKUP(CONCATENATE($C$3,"-",B24),Languages!$A:$D,Kybermittari!$C$7,TRUE),NA())</f>
        <v>Kyberturvallisuuden osiot</v>
      </c>
      <c r="E24" s="382"/>
      <c r="F24" s="383"/>
      <c r="G24" s="384"/>
      <c r="H24" s="385"/>
      <c r="I24" s="386"/>
      <c r="J24" s="386"/>
      <c r="K24" s="386"/>
      <c r="L24" s="387"/>
      <c r="M24" s="340"/>
      <c r="N24" s="348"/>
      <c r="O24" s="340"/>
      <c r="P24" s="341"/>
      <c r="Q24" s="341"/>
      <c r="R24" s="342"/>
      <c r="S24" s="342"/>
      <c r="T24" s="342"/>
      <c r="U24" s="342"/>
      <c r="V24" s="342"/>
      <c r="W24" s="342"/>
    </row>
    <row r="25" spans="1:23" s="351" customFormat="1" ht="10" customHeight="1" x14ac:dyDescent="0.25">
      <c r="A25" s="344"/>
      <c r="B25" s="380"/>
      <c r="C25" s="353"/>
      <c r="D25" s="388"/>
      <c r="E25" s="388"/>
      <c r="F25" s="389"/>
      <c r="G25" s="390"/>
      <c r="H25" s="391"/>
      <c r="I25" s="374"/>
      <c r="J25" s="374"/>
      <c r="K25" s="374"/>
      <c r="L25" s="346"/>
      <c r="M25" s="347"/>
      <c r="N25" s="348"/>
      <c r="O25" s="347"/>
      <c r="P25" s="349"/>
      <c r="Q25" s="349"/>
      <c r="R25" s="350"/>
      <c r="S25" s="350"/>
      <c r="T25" s="350"/>
      <c r="U25" s="350"/>
      <c r="V25" s="350"/>
      <c r="W25" s="350"/>
    </row>
    <row r="26" spans="1:23" s="372" customFormat="1" ht="22" customHeight="1" x14ac:dyDescent="0.25">
      <c r="A26" s="344"/>
      <c r="B26" s="380" t="s">
        <v>60</v>
      </c>
      <c r="C26" s="392">
        <f t="shared" ref="C26:C31" ca="1" si="0">RIGHT(F26,2) - LEFT(F26,2)</f>
        <v>27</v>
      </c>
      <c r="D26" s="393" t="str">
        <f>HYPERLINK("#'" &amp; $B26 &amp; "'!B2",IF(VLOOKUP($B26,Languages!$A:$D,1,TRUE)=$B26,VLOOKUP($B26,Languages!$A:$D,Kybermittari!$C$7,TRUE),NA()))</f>
        <v>Kriittisten palveluiden suojaaminen</v>
      </c>
      <c r="E26" s="388"/>
      <c r="F26" s="328" t="str">
        <f ca="1">COUNTIF(Data!$A:$A,$B26) - COUNTIF(INDIRECT("'"&amp;$B26&amp;"'!"&amp;"$H:$H"),0) &amp; " / " &amp; COUNTIF(Data!$A:$A,$B26)</f>
        <v>0 / 27</v>
      </c>
      <c r="G26" s="328"/>
      <c r="H26" s="394"/>
      <c r="I26" s="395"/>
      <c r="J26" s="395"/>
      <c r="K26" s="374"/>
      <c r="L26" s="396"/>
      <c r="M26" s="347"/>
      <c r="N26" s="348"/>
      <c r="O26" s="347"/>
      <c r="P26" s="370"/>
      <c r="Q26" s="370"/>
      <c r="R26" s="371"/>
      <c r="S26" s="371"/>
      <c r="T26" s="371"/>
      <c r="U26" s="371"/>
      <c r="V26" s="371"/>
      <c r="W26" s="371"/>
    </row>
    <row r="27" spans="1:23" s="372" customFormat="1" ht="22" customHeight="1" x14ac:dyDescent="0.25">
      <c r="A27" s="347"/>
      <c r="B27" s="380" t="s">
        <v>0</v>
      </c>
      <c r="C27" s="392">
        <f ca="1">RIGHT(F27,2) - LEFT(F27,2)</f>
        <v>22</v>
      </c>
      <c r="D27" s="737" t="str">
        <f>HYPERLINK("#'" &amp; $B27 &amp; "'!B2",IF(VLOOKUP($B27,Languages!$A:$D,1,TRUE)=$B27,VLOOKUP($B27,Languages!$A:$D,Kybermittari!$C$7,TRUE),NA()))</f>
        <v>Riskienhallinta</v>
      </c>
      <c r="E27" s="738"/>
      <c r="F27" s="328" t="str">
        <f ca="1">COUNTIF(Data!$A:$A,$B27) - COUNTIF(INDIRECT("'"&amp;$B27&amp;"'!"&amp;"$H:$H"),0) &amp; " / " &amp; COUNTIF(Data!$A:$A,$B27)</f>
        <v>0 / 22</v>
      </c>
      <c r="G27" s="397">
        <f ca="1">RIGHT(J27,2) - LEFT(J27,2)</f>
        <v>29</v>
      </c>
      <c r="H27" s="742" t="str">
        <f>HYPERLINK("#'" &amp; $L27 &amp; "'!B2",IF(VLOOKUP($L27,Languages!$A:$D,1,TRUE)=$L27,VLOOKUP($L27,Languages!$A:$D,Kybermittari!$C$7,TRUE),NA()))</f>
        <v>Tilannekuva</v>
      </c>
      <c r="I27" s="743"/>
      <c r="J27" s="328" t="str">
        <f ca="1">COUNTIF(Data!$A:$A,$L27) - COUNTIF(INDIRECT("'"&amp;$L27&amp;"'!"&amp;"$H:$H"),0) &amp; " / " &amp; COUNTIF(Data!$A:$A,$L27)</f>
        <v>0 / 29</v>
      </c>
      <c r="K27" s="398"/>
      <c r="L27" s="399" t="s">
        <v>72</v>
      </c>
      <c r="M27" s="347"/>
      <c r="N27" s="348"/>
      <c r="O27" s="347"/>
      <c r="P27" s="370"/>
      <c r="Q27" s="370"/>
      <c r="R27" s="371"/>
      <c r="S27" s="371"/>
      <c r="T27" s="371"/>
      <c r="U27" s="371"/>
      <c r="V27" s="371"/>
      <c r="W27" s="371"/>
    </row>
    <row r="28" spans="1:23" s="372" customFormat="1" ht="22" customHeight="1" x14ac:dyDescent="0.25">
      <c r="A28" s="347"/>
      <c r="B28" s="380" t="s">
        <v>77</v>
      </c>
      <c r="C28" s="392">
        <f t="shared" ca="1" si="0"/>
        <v>28</v>
      </c>
      <c r="D28" s="737" t="str">
        <f>HYPERLINK("#'" &amp; $B28 &amp; "'!B2",IF(VLOOKUP($B28,Languages!$A:$D,1,TRUE)=$B28,VLOOKUP($B28,Languages!$A:$D,Kybermittari!$C$7,TRUE),NA()))</f>
        <v>Toimitusketjun ja ulkoisten riippuvuuksien hallinta</v>
      </c>
      <c r="E28" s="738"/>
      <c r="F28" s="328" t="str">
        <f ca="1">COUNTIF(Data!$A:$A,$B28) - COUNTIF(INDIRECT("'"&amp;$B28&amp;"'!"&amp;"$H:$H"),0) &amp; " / " &amp; COUNTIF(Data!$A:$A,$B28)</f>
        <v>0 / 28</v>
      </c>
      <c r="G28" s="397">
        <f ca="1">RIGHT(J28,2) - LEFT(J28,2)</f>
        <v>32</v>
      </c>
      <c r="H28" s="742" t="str">
        <f>HYPERLINK("#'" &amp; $L28 &amp; "'!B2",IF(VLOOKUP($L28,Languages!$A:$D,1,TRUE)=$L28,VLOOKUP($L28,Languages!$A:$D,Kybermittari!$C$7,TRUE),NA()))</f>
        <v>Tapahtumien ja häiriötilanteiden hallinta</v>
      </c>
      <c r="I28" s="743"/>
      <c r="J28" s="328" t="str">
        <f ca="1">COUNTIF(Data!$A:$A,$L28) - COUNTIF(INDIRECT("'"&amp;$L28&amp;"'!"&amp;"$H:$H"),0) &amp; " / " &amp; COUNTIF(Data!$A:$A,$L28)</f>
        <v>0 / 32</v>
      </c>
      <c r="K28" s="398"/>
      <c r="L28" s="399" t="s">
        <v>74</v>
      </c>
      <c r="M28" s="347"/>
      <c r="N28" s="348"/>
      <c r="O28" s="347"/>
      <c r="P28" s="370"/>
      <c r="Q28" s="370"/>
      <c r="R28" s="371"/>
      <c r="S28" s="371"/>
      <c r="T28" s="371"/>
      <c r="U28" s="371"/>
      <c r="V28" s="371"/>
      <c r="W28" s="371"/>
    </row>
    <row r="29" spans="1:23" s="372" customFormat="1" ht="22" customHeight="1" x14ac:dyDescent="0.25">
      <c r="A29" s="347"/>
      <c r="B29" s="380" t="s">
        <v>51</v>
      </c>
      <c r="C29" s="392">
        <f t="shared" ca="1" si="0"/>
        <v>31</v>
      </c>
      <c r="D29" s="737" t="str">
        <f>HYPERLINK("#'" &amp; $B29 &amp; "'!B2",IF(VLOOKUP($B29,Languages!$A:$D,1,TRUE)=$B29,VLOOKUP($B29,Languages!$A:$D,Kybermittari!$C$7,TRUE),NA()))</f>
        <v>Omaisuuden, muutoksen ja konfiguraation hallinta</v>
      </c>
      <c r="E29" s="738"/>
      <c r="F29" s="328" t="str">
        <f ca="1">COUNTIF(Data!$A:$A,$B29) - COUNTIF(INDIRECT("'"&amp;$B29&amp;"'!"&amp;"$H:$H"),0) &amp; " / " &amp; COUNTIF(Data!$A:$A,$B29)</f>
        <v>0 / 31</v>
      </c>
      <c r="G29" s="397">
        <f ca="1">RIGHT(J29,2) - LEFT(J29,2)</f>
        <v>30</v>
      </c>
      <c r="H29" s="742" t="str">
        <f>HYPERLINK("#'" &amp; $L29 &amp; "'!B2",IF(VLOOKUP($L29,Languages!$A:$D,1,TRUE)=$L29,VLOOKUP($L29,Languages!$A:$D,Kybermittari!$C$7,TRUE),NA()))</f>
        <v>Henkilöstön hallinta</v>
      </c>
      <c r="I29" s="743"/>
      <c r="J29" s="328" t="str">
        <f ca="1">COUNTIF(Data!$A:$A,$L29) - COUNTIF(INDIRECT("'"&amp;$L29&amp;"'!"&amp;"$H:$H"),0) &amp; " / " &amp; COUNTIF(Data!$A:$A,$L29)</f>
        <v>0 / 30</v>
      </c>
      <c r="K29" s="398"/>
      <c r="L29" s="399" t="s">
        <v>80</v>
      </c>
      <c r="M29" s="347"/>
      <c r="N29" s="348"/>
      <c r="O29" s="347"/>
      <c r="P29" s="370"/>
      <c r="Q29" s="370"/>
      <c r="R29" s="371"/>
      <c r="S29" s="371"/>
      <c r="T29" s="371"/>
      <c r="U29" s="371"/>
      <c r="V29" s="371"/>
      <c r="W29" s="371"/>
    </row>
    <row r="30" spans="1:23" s="372" customFormat="1" ht="22" customHeight="1" x14ac:dyDescent="0.25">
      <c r="A30" s="347"/>
      <c r="B30" s="380" t="s">
        <v>64</v>
      </c>
      <c r="C30" s="392">
        <f t="shared" ca="1" si="0"/>
        <v>22</v>
      </c>
      <c r="D30" s="737" t="str">
        <f>HYPERLINK("#'" &amp; $B30 &amp; "'!B2",IF(VLOOKUP($B30,Languages!$A:$D,1,TRUE)=$B30,VLOOKUP($B30,Languages!$A:$D,Kybermittari!$C$7,TRUE),NA()))</f>
        <v>Identiteetin- ja pääsynhallinta</v>
      </c>
      <c r="E30" s="738"/>
      <c r="F30" s="328" t="str">
        <f ca="1">COUNTIF(Data!$A:$A,$B30) - COUNTIF(INDIRECT("'"&amp;$B30&amp;"'!"&amp;"$H:$H"),0) &amp; " / " &amp; COUNTIF(Data!$A:$A,$B30)</f>
        <v>0 / 22</v>
      </c>
      <c r="G30" s="397">
        <f ca="1">RIGHT(J30,2) - LEFT(J30,2)</f>
        <v>32</v>
      </c>
      <c r="H30" s="742" t="str">
        <f>HYPERLINK("#'" &amp; $L30 &amp; "'!B2",IF(VLOOKUP($L30,Languages!$A:$D,1,TRUE)=$L30,VLOOKUP($L30,Languages!$A:$D,Kybermittari!$C$7,TRUE),NA()))</f>
        <v>Kyberturvallisuusarkkitehtuuri</v>
      </c>
      <c r="I30" s="743"/>
      <c r="J30" s="328" t="str">
        <f ca="1">COUNTIF(Data!$A:$A,$L30) - COUNTIF(INDIRECT("'"&amp;$L30&amp;"'!"&amp;"$H:$H"),0) &amp; " / " &amp; COUNTIF(Data!$A:$A,$L30)</f>
        <v>0 / 32</v>
      </c>
      <c r="K30" s="398"/>
      <c r="L30" s="399" t="s">
        <v>83</v>
      </c>
      <c r="M30" s="347"/>
      <c r="N30" s="348"/>
      <c r="O30" s="347"/>
      <c r="P30" s="370"/>
      <c r="Q30" s="370"/>
      <c r="R30" s="371"/>
      <c r="S30" s="371"/>
      <c r="T30" s="371"/>
      <c r="U30" s="371"/>
      <c r="V30" s="371"/>
      <c r="W30" s="371"/>
    </row>
    <row r="31" spans="1:23" s="372" customFormat="1" ht="22" customHeight="1" x14ac:dyDescent="0.25">
      <c r="A31" s="347"/>
      <c r="B31" s="380" t="s">
        <v>69</v>
      </c>
      <c r="C31" s="392">
        <f t="shared" ca="1" si="0"/>
        <v>32</v>
      </c>
      <c r="D31" s="737" t="str">
        <f>HYPERLINK("#'" &amp; $B31 &amp; "'!B2",IF(VLOOKUP($B31,Languages!$A:$D,1,TRUE)=$B31,VLOOKUP($B31,Languages!$A:$D,Kybermittari!$C$7,TRUE),NA()))</f>
        <v>Uhkien ja haavoittuvuuksien hallinta</v>
      </c>
      <c r="E31" s="738"/>
      <c r="F31" s="328" t="str">
        <f ca="1">COUNTIF(Data!$A:$A,$B31) - COUNTIF(INDIRECT("'"&amp;$B31&amp;"'!"&amp;"$H:$H"),0) &amp; " / " &amp; COUNTIF(Data!$A:$A,$B31)</f>
        <v>0 / 32</v>
      </c>
      <c r="G31" s="397">
        <f ca="1">RIGHT(J31,2) - LEFT(J31,2)</f>
        <v>40</v>
      </c>
      <c r="H31" s="742" t="str">
        <f>HYPERLINK("#'" &amp; $L31 &amp; "'!B2",IF(VLOOKUP($L31,Languages!$A:$D,1,TRUE)=$L31,VLOOKUP($L31,Languages!$A:$D,Kybermittari!$C$7,TRUE),NA()))</f>
        <v>Kyberturvallisuusohjelma</v>
      </c>
      <c r="I31" s="743"/>
      <c r="J31" s="328" t="str">
        <f ca="1">COUNTIF(Data!$A:$A,$L31) - COUNTIF(INDIRECT("'"&amp;$L31&amp;"'!"&amp;"$H:$H"),0) &amp; " / " &amp; COUNTIF(Data!$A:$A,$L31)</f>
        <v>0 / 40</v>
      </c>
      <c r="K31" s="398"/>
      <c r="L31" s="399" t="s">
        <v>85</v>
      </c>
      <c r="M31" s="347"/>
      <c r="N31" s="348"/>
      <c r="O31" s="347"/>
      <c r="P31" s="370"/>
      <c r="Q31" s="370"/>
      <c r="R31" s="371"/>
      <c r="S31" s="371"/>
      <c r="T31" s="371"/>
      <c r="U31" s="371"/>
      <c r="V31" s="371"/>
      <c r="W31" s="371"/>
    </row>
    <row r="32" spans="1:23" s="343" customFormat="1" ht="20" customHeight="1" x14ac:dyDescent="0.25">
      <c r="A32" s="340"/>
      <c r="B32" s="380">
        <v>22</v>
      </c>
      <c r="C32" s="381">
        <f>IF(SUM(Investment!F19:L19)=0,0,1)</f>
        <v>0</v>
      </c>
      <c r="D32" s="338" t="str">
        <f>IF(VLOOKUP(CONCATENATE($C$3,"-",B32),Languages!$A:$D,1,TRUE)=CONCATENATE($C$3,"-",B32),VLOOKUP(CONCATENATE($C$3,"-",B32),Languages!$A:$D,Kybermittari!$C$7,TRUE),NA())</f>
        <v>Kyberturvallisuuden investointien taso</v>
      </c>
      <c r="E32" s="400"/>
      <c r="G32" s="401"/>
      <c r="H32" s="382"/>
      <c r="I32" s="402"/>
      <c r="J32" s="403"/>
      <c r="K32" s="403"/>
      <c r="L32" s="404"/>
      <c r="M32" s="340"/>
      <c r="N32" s="348"/>
      <c r="O32" s="340"/>
      <c r="P32" s="341"/>
      <c r="Q32" s="341"/>
      <c r="R32" s="342"/>
      <c r="S32" s="342"/>
      <c r="T32" s="342"/>
      <c r="U32" s="342"/>
      <c r="V32" s="342"/>
      <c r="W32" s="342"/>
    </row>
    <row r="33" spans="1:23" s="343" customFormat="1" ht="10" customHeight="1" x14ac:dyDescent="0.25">
      <c r="A33" s="340"/>
      <c r="B33" s="380"/>
      <c r="C33" s="381"/>
      <c r="D33" s="382"/>
      <c r="E33" s="405"/>
      <c r="F33" s="406"/>
      <c r="G33" s="401"/>
      <c r="H33" s="382"/>
      <c r="I33" s="402"/>
      <c r="J33" s="403"/>
      <c r="K33" s="403"/>
      <c r="L33" s="407"/>
      <c r="M33" s="340"/>
      <c r="N33" s="348"/>
      <c r="O33" s="340"/>
      <c r="P33" s="341"/>
      <c r="Q33" s="341"/>
      <c r="R33" s="342"/>
      <c r="S33" s="342"/>
      <c r="T33" s="342"/>
      <c r="U33" s="342"/>
      <c r="V33" s="342"/>
      <c r="W33" s="342"/>
    </row>
    <row r="34" spans="1:23" s="351" customFormat="1" ht="20" customHeight="1" x14ac:dyDescent="0.25">
      <c r="A34" s="408"/>
      <c r="B34" s="380">
        <v>23</v>
      </c>
      <c r="D34" s="748" t="str">
        <f>HYPERLINK("#'" &amp; "Investment" &amp; "'!B2",IF(VLOOKUP(CONCATENATE($C$3,"-",B34),Languages!$A:$D,1,TRUE)=CONCATENATE($C$3,"-",B34),VLOOKUP(CONCATENATE($C$3,"-",B34),Languages!$A:$D,Kybermittari!$C$7,TRUE),NA()))</f>
        <v>Kyberturvallisuuden investointien taso (Investment-välilehti)</v>
      </c>
      <c r="E34" s="748"/>
      <c r="F34" s="748"/>
      <c r="G34" s="409"/>
      <c r="H34" s="410"/>
      <c r="I34" s="411"/>
      <c r="J34" s="412"/>
      <c r="K34" s="412"/>
      <c r="L34" s="413"/>
      <c r="M34" s="408"/>
      <c r="N34" s="348"/>
      <c r="O34" s="408"/>
      <c r="P34" s="349"/>
      <c r="Q34" s="349"/>
      <c r="R34" s="350"/>
      <c r="S34" s="350"/>
      <c r="T34" s="350"/>
      <c r="U34" s="350"/>
      <c r="V34" s="350"/>
      <c r="W34" s="350"/>
    </row>
    <row r="35" spans="1:23" s="351" customFormat="1" ht="10" customHeight="1" x14ac:dyDescent="0.25">
      <c r="A35" s="408"/>
      <c r="B35" s="380"/>
      <c r="D35" s="414"/>
      <c r="E35" s="414"/>
      <c r="F35" s="414"/>
      <c r="G35" s="409"/>
      <c r="H35" s="410"/>
      <c r="I35" s="411"/>
      <c r="J35" s="412"/>
      <c r="K35" s="412"/>
      <c r="L35" s="413"/>
      <c r="M35" s="408"/>
      <c r="N35" s="348"/>
      <c r="O35" s="408"/>
      <c r="P35" s="349"/>
      <c r="Q35" s="349"/>
      <c r="R35" s="350"/>
      <c r="S35" s="350"/>
      <c r="T35" s="350"/>
      <c r="U35" s="350"/>
      <c r="V35" s="350"/>
      <c r="W35" s="350"/>
    </row>
    <row r="36" spans="1:23" s="343" customFormat="1" ht="25" customHeight="1" x14ac:dyDescent="0.25">
      <c r="A36" s="332"/>
      <c r="B36" s="380"/>
      <c r="C36" s="334">
        <v>30</v>
      </c>
      <c r="D36" s="335" t="str">
        <f>IF(VLOOKUP(CONCATENATE($C$3,"-",C36),Languages!$A:$D,1,TRUE)=CONCATENATE($C$3,"-",C36),VLOOKUP(CONCATENATE($C$3,"-",C36),Languages!$A:$D,Kybermittari!$C$7,TRUE),NA())</f>
        <v>Tulokset ja vertailutiedot</v>
      </c>
      <c r="E36" s="336"/>
      <c r="F36" s="336"/>
      <c r="G36" s="337"/>
      <c r="H36" s="336"/>
      <c r="I36" s="336" t="str">
        <f>IFERROR(INT(LEFT(#REF!,1)),"")</f>
        <v/>
      </c>
      <c r="J36" s="336"/>
      <c r="K36" s="338"/>
      <c r="L36" s="339"/>
      <c r="M36" s="340"/>
      <c r="N36" s="300"/>
      <c r="O36" s="340"/>
      <c r="P36" s="341"/>
      <c r="Q36" s="370"/>
      <c r="R36" s="342"/>
      <c r="S36" s="342"/>
      <c r="T36" s="342"/>
      <c r="U36" s="342"/>
      <c r="V36" s="342"/>
      <c r="W36" s="342"/>
    </row>
    <row r="37" spans="1:23" s="351" customFormat="1" ht="10" customHeight="1" x14ac:dyDescent="0.25">
      <c r="A37" s="344"/>
      <c r="B37" s="380"/>
      <c r="C37" s="736"/>
      <c r="D37" s="736"/>
      <c r="E37" s="736"/>
      <c r="F37" s="736"/>
      <c r="G37" s="736"/>
      <c r="H37" s="736"/>
      <c r="I37" s="736"/>
      <c r="J37" s="736"/>
      <c r="K37" s="331"/>
      <c r="L37" s="346"/>
      <c r="M37" s="347"/>
      <c r="N37" s="348"/>
      <c r="O37" s="347"/>
      <c r="P37" s="349"/>
      <c r="Q37" s="349"/>
      <c r="R37" s="350"/>
      <c r="S37" s="350"/>
      <c r="T37" s="350"/>
      <c r="U37" s="350"/>
      <c r="V37" s="350"/>
      <c r="W37" s="350"/>
    </row>
    <row r="38" spans="1:23" s="372" customFormat="1" ht="22" customHeight="1" x14ac:dyDescent="0.25">
      <c r="A38" s="347"/>
      <c r="B38" s="380">
        <v>31</v>
      </c>
      <c r="C38" s="415"/>
      <c r="D38" s="747" t="str">
        <f>HYPERLINK("#'" &amp; "DataExport" &amp; "'!B2",IF(VLOOKUP(CONCATENATE($C$3,"-",B38),Languages!$A:$D,1,TRUE)=CONCATENATE($C$3,"-",B38),VLOOKUP(CONCATENATE($C$3,"-",B38),Languages!$A:$D,Kybermittari!$C$7,TRUE),NA()))</f>
        <v>Tulosten vienti ja tuonti (DataExport-välilehti)</v>
      </c>
      <c r="E38" s="747"/>
      <c r="F38" s="747"/>
      <c r="G38" s="390"/>
      <c r="J38" s="355"/>
      <c r="K38" s="355"/>
      <c r="L38" s="369"/>
      <c r="M38" s="347"/>
      <c r="N38" s="348"/>
      <c r="O38" s="347"/>
      <c r="P38" s="370"/>
      <c r="Q38" s="370"/>
      <c r="R38" s="371"/>
      <c r="S38" s="371"/>
      <c r="T38" s="371"/>
      <c r="U38" s="371"/>
      <c r="V38" s="371"/>
      <c r="W38" s="371"/>
    </row>
    <row r="39" spans="1:23" s="372" customFormat="1" ht="10" customHeight="1" x14ac:dyDescent="0.25">
      <c r="A39" s="347"/>
      <c r="B39" s="380"/>
      <c r="C39" s="391"/>
      <c r="D39" s="416"/>
      <c r="E39" s="417"/>
      <c r="F39" s="418"/>
      <c r="G39" s="390"/>
      <c r="J39" s="355"/>
      <c r="K39" s="355"/>
      <c r="L39" s="369"/>
      <c r="M39" s="347"/>
      <c r="N39" s="348"/>
      <c r="O39" s="347"/>
      <c r="P39" s="370"/>
      <c r="Q39" s="370"/>
      <c r="R39" s="371"/>
      <c r="S39" s="371"/>
      <c r="T39" s="371"/>
      <c r="U39" s="371"/>
      <c r="V39" s="371"/>
      <c r="W39" s="371"/>
    </row>
    <row r="40" spans="1:23" s="372" customFormat="1" ht="22" customHeight="1" x14ac:dyDescent="0.25">
      <c r="A40" s="347"/>
      <c r="B40" s="380">
        <v>32</v>
      </c>
      <c r="C40" s="415"/>
      <c r="D40" s="745" t="str">
        <f>HYPERLINK("#'" &amp; "R1" &amp; "'!B2",IF(VLOOKUP(CONCATENATE($C$3,"-",B40),Languages!$A:$D,1,TRUE)=CONCATENATE($C$3,"-",B40),VLOOKUP(CONCATENATE($C$3,"-",B40),Languages!$A:$D,Kybermittari!$C$7,TRUE),NA()))</f>
        <v>Johdon kypsyysraportti (R1-välilehti)</v>
      </c>
      <c r="E40" s="745"/>
      <c r="F40" s="745"/>
      <c r="K40" s="355"/>
      <c r="L40" s="369"/>
      <c r="M40" s="347"/>
      <c r="N40" s="348"/>
      <c r="O40" s="347"/>
      <c r="P40" s="370"/>
      <c r="Q40" s="370"/>
      <c r="R40" s="371"/>
      <c r="S40" s="371"/>
      <c r="T40" s="371"/>
      <c r="U40" s="371"/>
      <c r="V40" s="371"/>
      <c r="W40" s="371"/>
    </row>
    <row r="41" spans="1:23" s="372" customFormat="1" ht="22" customHeight="1" x14ac:dyDescent="0.25">
      <c r="A41" s="347"/>
      <c r="B41" s="380">
        <v>33</v>
      </c>
      <c r="C41" s="415"/>
      <c r="D41" s="745" t="str">
        <f>HYPERLINK("#'" &amp; "R2" &amp; "'!B2",IF(VLOOKUP(CONCATENATE($C$3,"-",B41),Languages!$A:$D,1,TRUE)=CONCATENATE($C$3,"-",B41),VLOOKUP(CONCATENATE($C$3,"-",B41),Languages!$A:$D,Kybermittari!$C$7,TRUE),NA()))</f>
        <v>Kybermittarin kypsyysraportti (R2-välilehti)</v>
      </c>
      <c r="E41" s="745"/>
      <c r="F41" s="745"/>
      <c r="G41" s="419">
        <v>34</v>
      </c>
      <c r="H41" s="746" t="str">
        <f>HYPERLINK("#'" &amp; "R3" &amp; "'!B2",IF(VLOOKUP(CONCATENATE($C$3,"-",G41),Languages!$A:$D,1,TRUE)=CONCATENATE($C$3,"-",G41),VLOOKUP(CONCATENATE($C$3,"-",G41),Languages!$A:$D,Kybermittari!$C$7,TRUE),NA()))</f>
        <v>Yksityiskohtainen NIST Framework Core -raportti (R3-välilehti)</v>
      </c>
      <c r="I41" s="746"/>
      <c r="J41" s="746"/>
      <c r="K41" s="355"/>
      <c r="L41" s="369"/>
      <c r="M41" s="347"/>
      <c r="N41" s="348"/>
      <c r="O41" s="347"/>
      <c r="P41" s="370"/>
      <c r="Q41" s="370"/>
      <c r="R41" s="371"/>
      <c r="S41" s="371"/>
      <c r="T41" s="371"/>
      <c r="U41" s="371"/>
      <c r="V41" s="371"/>
      <c r="W41" s="371"/>
    </row>
    <row r="42" spans="1:23" s="372" customFormat="1" ht="18" customHeight="1" x14ac:dyDescent="0.25">
      <c r="A42" s="347"/>
      <c r="B42" s="373"/>
      <c r="C42" s="415"/>
      <c r="D42" s="420"/>
      <c r="E42" s="417"/>
      <c r="F42" s="418"/>
      <c r="G42" s="354"/>
      <c r="H42" s="421"/>
      <c r="I42" s="421"/>
      <c r="J42" s="355"/>
      <c r="K42" s="355"/>
      <c r="L42" s="369"/>
      <c r="M42" s="347"/>
      <c r="N42" s="348"/>
      <c r="O42" s="347"/>
      <c r="P42" s="370"/>
      <c r="Q42" s="370"/>
      <c r="R42" s="371"/>
      <c r="S42" s="371"/>
      <c r="T42" s="371"/>
      <c r="U42" s="371"/>
      <c r="V42" s="371"/>
      <c r="W42" s="371"/>
    </row>
    <row r="43" spans="1:23" s="303" customFormat="1" ht="11.5" x14ac:dyDescent="0.25">
      <c r="A43" s="422"/>
      <c r="B43" s="423"/>
      <c r="C43" s="424"/>
      <c r="D43" s="425"/>
      <c r="E43" s="425"/>
      <c r="F43" s="425"/>
      <c r="G43" s="426"/>
      <c r="H43" s="427"/>
      <c r="I43" s="428"/>
      <c r="J43" s="428"/>
      <c r="K43" s="428"/>
      <c r="L43" s="429"/>
      <c r="M43" s="422"/>
      <c r="N43" s="300"/>
      <c r="O43" s="422"/>
      <c r="P43" s="301"/>
      <c r="Q43" s="301"/>
      <c r="R43" s="302"/>
      <c r="S43" s="302"/>
      <c r="T43" s="302"/>
      <c r="U43" s="302"/>
      <c r="V43" s="302"/>
      <c r="W43" s="302"/>
    </row>
    <row r="44" spans="1:23" s="303" customFormat="1" ht="11.5" x14ac:dyDescent="0.25">
      <c r="A44" s="422"/>
      <c r="B44" s="422"/>
      <c r="C44" s="430"/>
      <c r="D44" s="422"/>
      <c r="E44" s="422"/>
      <c r="F44" s="422"/>
      <c r="G44" s="431"/>
      <c r="H44" s="431"/>
      <c r="I44" s="422"/>
      <c r="J44" s="422"/>
      <c r="K44" s="422"/>
      <c r="L44" s="422"/>
      <c r="M44" s="422"/>
      <c r="N44" s="432"/>
      <c r="O44" s="422"/>
      <c r="P44" s="301"/>
      <c r="Q44" s="301"/>
      <c r="R44" s="302"/>
      <c r="S44" s="302"/>
      <c r="T44" s="302"/>
      <c r="U44" s="302"/>
      <c r="V44" s="302"/>
      <c r="W44" s="302"/>
    </row>
  </sheetData>
  <sheetProtection sheet="1" objects="1" scenarios="1"/>
  <mergeCells count="29">
    <mergeCell ref="D40:F40"/>
    <mergeCell ref="D41:F41"/>
    <mergeCell ref="H41:J41"/>
    <mergeCell ref="D38:F38"/>
    <mergeCell ref="D28:E28"/>
    <mergeCell ref="H28:I28"/>
    <mergeCell ref="H29:I29"/>
    <mergeCell ref="D31:E31"/>
    <mergeCell ref="C37:J37"/>
    <mergeCell ref="H30:I30"/>
    <mergeCell ref="H31:I31"/>
    <mergeCell ref="D34:F34"/>
    <mergeCell ref="D29:E29"/>
    <mergeCell ref="E7:F7"/>
    <mergeCell ref="D20:J20"/>
    <mergeCell ref="D16:J16"/>
    <mergeCell ref="C6:J6"/>
    <mergeCell ref="D30:E30"/>
    <mergeCell ref="C23:J23"/>
    <mergeCell ref="E12:F12"/>
    <mergeCell ref="E13:F13"/>
    <mergeCell ref="I13:J13"/>
    <mergeCell ref="I12:J12"/>
    <mergeCell ref="D19:E19"/>
    <mergeCell ref="C10:J10"/>
    <mergeCell ref="D27:E27"/>
    <mergeCell ref="H27:I27"/>
    <mergeCell ref="E11:F11"/>
    <mergeCell ref="I11:J11"/>
  </mergeCells>
  <conditionalFormatting sqref="E13 D19">
    <cfRule type="expression" dxfId="77" priority="108">
      <formula>ISBLANK(D13)</formula>
    </cfRule>
  </conditionalFormatting>
  <conditionalFormatting sqref="C12 C16:C17">
    <cfRule type="expression" dxfId="76" priority="289">
      <formula>OR(ISBLANK(#REF!),ISNUMBER(SEARCH("0",#REF!)))</formula>
    </cfRule>
  </conditionalFormatting>
  <conditionalFormatting sqref="E11">
    <cfRule type="expression" dxfId="75" priority="77">
      <formula>ISBLANK(E11)</formula>
    </cfRule>
  </conditionalFormatting>
  <conditionalFormatting sqref="I11">
    <cfRule type="expression" dxfId="74" priority="76">
      <formula>ISBLANK(I11)</formula>
    </cfRule>
  </conditionalFormatting>
  <conditionalFormatting sqref="C15">
    <cfRule type="expression" dxfId="73" priority="67">
      <formula>ISBLANK(D16)</formula>
    </cfRule>
  </conditionalFormatting>
  <conditionalFormatting sqref="I13">
    <cfRule type="expression" dxfId="72" priority="40">
      <formula>ISBLANK(I13)</formula>
    </cfRule>
  </conditionalFormatting>
  <conditionalFormatting sqref="C11 G11">
    <cfRule type="expression" dxfId="71" priority="432">
      <formula>ISBLANK(E11:E13)</formula>
    </cfRule>
  </conditionalFormatting>
  <conditionalFormatting sqref="E12">
    <cfRule type="expression" dxfId="70" priority="17">
      <formula>ISBLANK(E12)</formula>
    </cfRule>
  </conditionalFormatting>
  <conditionalFormatting sqref="C18:C21">
    <cfRule type="expression" dxfId="69" priority="445">
      <formula>ISBLANK(#REF!)</formula>
    </cfRule>
  </conditionalFormatting>
  <pageMargins left="0.7" right="0.7" top="0.75" bottom="0.75" header="0.3" footer="0.3"/>
  <pageSetup paperSize="9" orientation="portrait" r:id="rId1"/>
  <ignoredErrors>
    <ignoredError sqref="E30 E29 E28 E31 E27 D30 D27 D33:E33 D31 D28 D29 E32 F27:F31 J27:J31"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186" id="{072F995F-3F9A-4287-B222-E733D615F111}">
            <x14:iconSet iconSet="3Flags" showValue="0" custom="1">
              <x14:cfvo type="percent">
                <xm:f>0</xm:f>
              </x14:cfvo>
              <x14:cfvo type="num">
                <xm:f>0</xm:f>
              </x14:cfvo>
              <x14:cfvo type="num">
                <xm:f>1</xm:f>
              </x14:cfvo>
              <x14:cfIcon iconSet="3Flags" iconId="0"/>
              <x14:cfIcon iconSet="3Flags" iconId="0"/>
              <x14:cfIcon iconSet="3Symbols2" iconId="2"/>
            </x14:iconSet>
          </x14:cfRule>
          <xm:sqref>C11</xm:sqref>
        </x14:conditionalFormatting>
        <x14:conditionalFormatting xmlns:xm="http://schemas.microsoft.com/office/excel/2006/main">
          <x14:cfRule type="iconSet" priority="70" id="{28A2D932-6CDB-438B-A98B-9FEFD1E0338F}">
            <x14:iconSet iconSet="3Flags" showValue="0" custom="1">
              <x14:cfvo type="percent">
                <xm:f>0</xm:f>
              </x14:cfvo>
              <x14:cfvo type="num">
                <xm:f>0</xm:f>
              </x14:cfvo>
              <x14:cfvo type="num">
                <xm:f>1</xm:f>
              </x14:cfvo>
              <x14:cfIcon iconSet="3Flags" iconId="0"/>
              <x14:cfIcon iconSet="3Flags" iconId="0"/>
              <x14:cfIcon iconSet="3Symbols2" iconId="2"/>
            </x14:iconSet>
          </x14:cfRule>
          <xm:sqref>G11</xm:sqref>
        </x14:conditionalFormatting>
        <x14:conditionalFormatting xmlns:xm="http://schemas.microsoft.com/office/excel/2006/main">
          <x14:cfRule type="iconSet" priority="66" id="{C74246E5-E54B-4611-A3C5-57E54C95BC50}">
            <x14:iconSet iconSet="3Flags" showValue="0" custom="1">
              <x14:cfvo type="percent">
                <xm:f>0</xm:f>
              </x14:cfvo>
              <x14:cfvo type="num">
                <xm:f>0</xm:f>
              </x14:cfvo>
              <x14:cfvo type="num">
                <xm:f>1</xm:f>
              </x14:cfvo>
              <x14:cfIcon iconSet="3Flags" iconId="0"/>
              <x14:cfIcon iconSet="3Flags" iconId="0"/>
              <x14:cfIcon iconSet="3Symbols2" iconId="2"/>
            </x14:iconSet>
          </x14:cfRule>
          <xm:sqref>C15</xm:sqref>
        </x14:conditionalFormatting>
        <x14:conditionalFormatting xmlns:xm="http://schemas.microsoft.com/office/excel/2006/main">
          <x14:cfRule type="iconSet" priority="64" id="{0B87AA5D-14B4-43E8-8395-2E73CC005D87}">
            <x14:iconSet iconSet="3Flags" showValue="0" custom="1">
              <x14:cfvo type="percent">
                <xm:f>0</xm:f>
              </x14:cfvo>
              <x14:cfvo type="num">
                <xm:f>0</xm:f>
              </x14:cfvo>
              <x14:cfvo type="num">
                <xm:f>1</xm:f>
              </x14:cfvo>
              <x14:cfIcon iconSet="3Flags" iconId="0"/>
              <x14:cfIcon iconSet="3Flags" iconId="0"/>
              <x14:cfIcon iconSet="3Symbols2" iconId="2"/>
            </x14:iconSet>
          </x14:cfRule>
          <xm:sqref>C18:C21</xm:sqref>
        </x14:conditionalFormatting>
        <x14:conditionalFormatting xmlns:xm="http://schemas.microsoft.com/office/excel/2006/main">
          <x14:cfRule type="iconSet" priority="55" id="{9094AB06-5FEF-4C52-BB37-698D943C0887}">
            <x14:iconSet iconSet="3Flags" showValue="0" custom="1">
              <x14:cfvo type="percent">
                <xm:f>0</xm:f>
              </x14:cfvo>
              <x14:cfvo type="num">
                <xm:f>0</xm:f>
              </x14:cfvo>
              <x14:cfvo type="num">
                <xm:f>1</xm:f>
              </x14:cfvo>
              <x14:cfIcon iconSet="3Flags" iconId="0"/>
              <x14:cfIcon iconSet="3Flags" iconId="0"/>
              <x14:cfIcon iconSet="3Symbols2" iconId="2"/>
            </x14:iconSet>
          </x14:cfRule>
          <xm:sqref>C32:C33</xm:sqref>
        </x14:conditionalFormatting>
        <x14:conditionalFormatting xmlns:xm="http://schemas.microsoft.com/office/excel/2006/main">
          <x14:cfRule type="iconSet" priority="51" id="{67CE7C90-B51C-4C67-BAB9-8522EB402F08}">
            <x14:iconSet iconSet="3Flags" showValue="0" custom="1">
              <x14:cfvo type="percent">
                <xm:f>0</xm:f>
              </x14:cfvo>
              <x14:cfvo type="num">
                <xm:f>0</xm:f>
              </x14:cfvo>
              <x14:cfvo type="num">
                <xm:f>1</xm:f>
              </x14:cfvo>
              <x14:cfIcon iconSet="3Flags" iconId="0"/>
              <x14:cfIcon iconSet="3Flags" iconId="0"/>
              <x14:cfIcon iconSet="3Symbols2" iconId="2"/>
            </x14:iconSet>
          </x14:cfRule>
          <xm:sqref>C39</xm:sqref>
        </x14:conditionalFormatting>
        <x14:conditionalFormatting xmlns:xm="http://schemas.microsoft.com/office/excel/2006/main">
          <x14:cfRule type="iconSet" priority="29" id="{C0FF0534-C140-4962-8005-850F0007F934}">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438" id="{6D343EC2-B4D3-47E6-B43B-C62B09D74060}">
            <x14:iconSet iconSet="4TrafficLights" showValue="0" custom="1">
              <x14:cfvo type="percent">
                <xm:f>0</xm:f>
              </x14:cfvo>
              <x14:cfvo type="num">
                <xm:f>1</xm:f>
              </x14:cfvo>
              <x14:cfvo type="num">
                <xm:f>2</xm:f>
              </x14:cfvo>
              <x14:cfvo type="num">
                <xm:f>3</xm:f>
              </x14:cfvo>
              <x14:cfIcon iconSet="3Flags" iconId="0"/>
              <x14:cfIcon iconSet="3TrafficLights1" iconId="0"/>
              <x14:cfIcon iconSet="3TrafficLights1" iconId="1"/>
              <x14:cfIcon iconSet="3TrafficLights1" iconId="2"/>
            </x14:iconSet>
          </x14:cfRule>
          <xm:sqref>C12</xm:sqref>
        </x14:conditionalFormatting>
        <x14:conditionalFormatting xmlns:xm="http://schemas.microsoft.com/office/excel/2006/main">
          <x14:cfRule type="iconSet" priority="446" id="{1C45258F-5862-4DC9-B35C-77A5CFCD0C35}">
            <x14:iconSet iconSet="4TrafficLights" showValue="0" custom="1">
              <x14:cfvo type="percent">
                <xm:f>0</xm:f>
              </x14:cfvo>
              <x14:cfvo type="num">
                <xm:f>1</xm:f>
              </x14:cfvo>
              <x14:cfvo type="num">
                <xm:f>2</xm:f>
              </x14:cfvo>
              <x14:cfvo type="num">
                <xm:f>3</xm:f>
              </x14:cfvo>
              <x14:cfIcon iconSet="3Flags" iconId="0"/>
              <x14:cfIcon iconSet="3TrafficLights1" iconId="0"/>
              <x14:cfIcon iconSet="3TrafficLights1" iconId="1"/>
              <x14:cfIcon iconSet="3TrafficLights1" iconId="2"/>
            </x14:iconSet>
          </x14:cfRule>
          <xm:sqref>C16:C17</xm:sqref>
        </x14:conditionalFormatting>
        <x14:conditionalFormatting xmlns:xm="http://schemas.microsoft.com/office/excel/2006/main">
          <x14:cfRule type="iconSet" priority="450" id="{0EC28153-D4A8-4FAD-8CFD-9FF15F93DA7B}">
            <x14:iconSet iconSet="3Flags" showValue="0" custom="1">
              <x14:cfvo type="percent">
                <xm:f>0</xm:f>
              </x14:cfvo>
              <x14:cfvo type="num">
                <xm:f>0</xm:f>
              </x14:cfvo>
              <x14:cfvo type="num">
                <xm:f>1</xm:f>
              </x14:cfvo>
              <x14:cfIcon iconSet="3Flags" iconId="0"/>
              <x14:cfIcon iconSet="3Flags" iconId="0"/>
              <x14:cfIcon iconSet="3Symbols2" iconId="2"/>
            </x14:iconSet>
          </x14:cfRule>
          <xm:sqref>C25</xm:sqref>
        </x14:conditionalFormatting>
        <x14:conditionalFormatting xmlns:xm="http://schemas.microsoft.com/office/excel/2006/main">
          <x14:cfRule type="iconSet" priority="4" id="{246C3C9E-0C0E-4DC9-9D54-F6AC0AAED825}">
            <x14:iconSet iconSet="3Flags" showValue="0" custom="1">
              <x14:cfvo type="percent">
                <xm:f>0</xm:f>
              </x14:cfvo>
              <x14:cfvo type="num" gte="0">
                <xm:f>0</xm:f>
              </x14:cfvo>
              <x14:cfvo type="num">
                <xm:f>1</xm:f>
              </x14:cfvo>
              <x14:cfIcon iconSet="3Symbols2" iconId="2"/>
              <x14:cfIcon iconSet="3Flags" iconId="0"/>
              <x14:cfIcon iconSet="3Flags" iconId="0"/>
            </x14:iconSet>
          </x14:cfRule>
          <xm:sqref>C24</xm:sqref>
        </x14:conditionalFormatting>
        <x14:conditionalFormatting xmlns:xm="http://schemas.microsoft.com/office/excel/2006/main">
          <x14:cfRule type="iconSet" priority="452" id="{B6E57DD4-7C25-4E5D-8EE3-19BDE4D3199C}">
            <x14:iconSet iconSet="3Flags" showValue="0" custom="1">
              <x14:cfvo type="percent">
                <xm:f>0</xm:f>
              </x14:cfvo>
              <x14:cfvo type="num">
                <xm:f>0</xm:f>
              </x14:cfvo>
              <x14:cfvo type="num">
                <xm:f>1</xm:f>
              </x14:cfvo>
              <x14:cfIcon iconSet="3Flags" iconId="0"/>
              <x14:cfIcon iconSet="3Flags" iconId="0"/>
              <x14:cfIcon iconSet="3Symbols2" iconId="2"/>
            </x14:iconSet>
          </x14:cfRule>
          <xm:sqref>G42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Parameters!$B$23:$B$25</xm:f>
          </x14:formula1>
          <xm:sqref>D19:E19</xm:sqref>
        </x14:dataValidation>
        <x14:dataValidation type="list" allowBlank="1" showInputMessage="1" showErrorMessage="1">
          <x14:formula1>
            <xm:f>Parameters!$B$26:$B$33</xm:f>
          </x14:formula1>
          <xm:sqref>E12:F12</xm:sqref>
        </x14:dataValidation>
        <x14:dataValidation type="list" allowBlank="1" showInputMessage="1" showErrorMessage="1">
          <x14:formula1>
            <xm:f>Parameters!$B$34:$B$61</xm:f>
          </x14:formula1>
          <xm:sqref>E13:F13</xm:sqref>
        </x14:dataValidation>
        <x14:dataValidation type="list" allowBlank="1" showInputMessage="1" showErrorMessage="1">
          <x14:formula1>
            <xm:f>Parameters!$D$2:$F$2</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73"/>
  <sheetViews>
    <sheetView showGridLines="0" topLeftCell="A13" zoomScaleNormal="100" workbookViewId="0">
      <selection activeCell="J71" sqref="J71"/>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80</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Henkilöstön hallinta</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47" customHeight="1" x14ac:dyDescent="0.25">
      <c r="A5" s="344"/>
      <c r="B5" s="532"/>
      <c r="C5" s="758" t="str">
        <f>IF(VLOOKUP(CONCATENATE(C2,"-0"),Languages!$A:$D,1,TRUE)=CONCATENATE(C2,"-0"),VLOOKUP(CONCATENATE(C2,"-0"),Languages!$A:$D,Kybermittari!$C$7,TRUE),NA())</f>
        <v>Henkilöstön hallinnan osiossa arvioidaan organisaation kykyä kehittää ja ylläpitää henkilöstön kyberturvallisuusosaamista ja -valmiutta. Organisaation tulee määritellä ja ylläpitää suunnitelmia, prosesseja, teknologiaa ja kontrolleja organisaation kyberturvallisuuskulttuurin luomiseksi ja sopivan ja osaavan henkilöstön takaamiseksi, suhteessa sekä suojattaviin kohteisiin kohdistuviin riskeihin, että organisaation asettamiin tavoitteisiin.</v>
      </c>
      <c r="D5" s="758"/>
      <c r="E5" s="758"/>
      <c r="F5" s="758"/>
      <c r="G5" s="758"/>
      <c r="H5" s="758"/>
      <c r="I5" s="758"/>
      <c r="J5" s="758"/>
      <c r="K5" s="356"/>
      <c r="L5" s="344"/>
      <c r="M5" s="533"/>
      <c r="N5" s="344"/>
    </row>
    <row r="6" spans="1:16" ht="14.5" x14ac:dyDescent="0.25">
      <c r="A6" s="344"/>
      <c r="B6" s="532"/>
      <c r="C6" s="456">
        <v>1</v>
      </c>
      <c r="D6" s="457" t="s">
        <v>2</v>
      </c>
      <c r="E6" s="458" t="str">
        <f>IF(VLOOKUP(CONCATENATE($C$2,"-",C6),Languages!$A:$D,1,TRUE)=CONCATENATE($C$2,"-",C6),VLOOKUP(CONCATENATE($C$2,"-",C6),Languages!$A:$D,Kybermittari!$C$7,TRUE),NA())</f>
        <v>Kyberturvallisuuden vastuiden jakaminen</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Kyberhenkilöstön kehittäminen</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Henkilöstön hallintatoimet</v>
      </c>
      <c r="F8" s="607"/>
      <c r="G8" s="386"/>
      <c r="H8" s="610"/>
      <c r="I8" s="459" t="str">
        <f ca="1">VLOOKUP(VLOOKUP(CONCATENATE($C$2,"-",$C8),Data!$K:$O,5,FALSE),Parameters!$C$7:$F$10,Kybermittari!$C$7,FALSE)</f>
        <v>Kypsyystaso 0</v>
      </c>
      <c r="J8" s="611"/>
      <c r="K8" s="356"/>
      <c r="L8" s="344"/>
      <c r="M8" s="533"/>
      <c r="N8" s="344"/>
    </row>
    <row r="9" spans="1:16" ht="14.5" x14ac:dyDescent="0.25">
      <c r="A9" s="344"/>
      <c r="B9" s="532"/>
      <c r="C9" s="456">
        <v>4</v>
      </c>
      <c r="D9" s="457" t="s">
        <v>2</v>
      </c>
      <c r="E9" s="458" t="str">
        <f>IF(VLOOKUP(CONCATENATE($C$2,"-",C9),Languages!$A:$D,1,TRUE)=CONCATENATE($C$2,"-",C9),VLOOKUP(CONCATENATE($C$2,"-",C9),Languages!$A:$D,Kybermittari!$C$7,TRUE),NA())</f>
        <v>Kybertietoisuuden lisääminen</v>
      </c>
      <c r="F9" s="607"/>
      <c r="G9" s="386"/>
      <c r="H9" s="633"/>
      <c r="I9" s="459" t="str">
        <f ca="1">VLOOKUP(VLOOKUP(CONCATENATE($C$2,"-",$C9),Data!$K:$O,5,FALSE),Parameters!$C$7:$F$10,Kybermittari!$C$7,FALSE)</f>
        <v>Kypsyystaso 0</v>
      </c>
      <c r="J9" s="611"/>
      <c r="K9" s="356"/>
      <c r="L9" s="344"/>
      <c r="M9" s="533"/>
      <c r="N9" s="344"/>
    </row>
    <row r="10" spans="1:16" ht="14.5" x14ac:dyDescent="0.25">
      <c r="A10" s="344"/>
      <c r="B10" s="532"/>
      <c r="C10" s="456">
        <v>5</v>
      </c>
      <c r="D10" s="457" t="s">
        <v>2</v>
      </c>
      <c r="E10" s="458" t="str">
        <f>IF(VLOOKUP(CONCATENATE($C$2,"-",C10),Languages!$A:$D,1,TRUE)=CONCATENATE($C$2,"-",C10),VLOOKUP(CONCATENATE($C$2,"-",C10),Languages!$A:$D,Kybermittari!$C$7,TRUE),NA())</f>
        <v>Yleisiä hallintatoimia</v>
      </c>
      <c r="F10" s="607"/>
      <c r="G10" s="386"/>
      <c r="H10" s="633"/>
      <c r="I10" s="459" t="str">
        <f ca="1">VLOOKUP(VLOOKUP(CONCATENATE($C$2,"-",$C10),Data!$K:$O,5,FALSE),Parameters!$C$7:$F$10,Kybermittari!$C$7,FALSE)</f>
        <v>Kypsyystaso 1</v>
      </c>
      <c r="J10" s="611"/>
      <c r="K10" s="356"/>
      <c r="L10" s="467"/>
      <c r="M10" s="533"/>
      <c r="N10" s="332"/>
    </row>
    <row r="11" spans="1:16" s="343" customFormat="1" ht="30" customHeight="1" x14ac:dyDescent="0.25">
      <c r="A11" s="332"/>
      <c r="B11" s="461"/>
      <c r="C11" s="336">
        <v>1</v>
      </c>
      <c r="D11" s="336" t="str">
        <f>IF(VLOOKUP(CONCATENATE($C$2,"-",C11),Languages!$A:$D,1,TRUE)=CONCATENATE($C$2,"-",C11),VLOOKUP(CONCATENATE($C$2,"-",C11),Languages!$A:$D,Kybermittari!$C$7,TRUE),NA())</f>
        <v>Kyberturvallisuuden vastuiden jakaminen</v>
      </c>
      <c r="E11" s="336"/>
      <c r="F11" s="463"/>
      <c r="G11" s="463"/>
      <c r="H11" s="464"/>
      <c r="I11" s="464"/>
      <c r="J11" s="465"/>
      <c r="K11" s="466"/>
      <c r="L11" s="344"/>
      <c r="M11" s="533"/>
      <c r="N11" s="344"/>
      <c r="O11" s="341"/>
      <c r="P11" s="341"/>
    </row>
    <row r="12" spans="1:16" s="475" customFormat="1" ht="60.5" customHeight="1" x14ac:dyDescent="0.3">
      <c r="A12" s="469"/>
      <c r="B12" s="470"/>
      <c r="C12" s="753" t="str">
        <f>IF(VLOOKUP(CONCATENATE($C$2,"-",$C11,"-0"),Languages!$A:$D,1,TRUE)=CONCATENATE($C$2,"-",$C11,"-0"),VLOOKUP(CONCATENATE($C$2,"-",$C11,"-0"),Languages!$A:$D,Kybermittari!$C$7,TRUE),NA())</f>
        <v>Tärkeä osa kyberturvallisuuden vastuiden jakamista on varmistua siitä, että vastuut on katettu riittävästi ja riittävällä korvaavuudella ("redundancy"). Roolit, joihin kuuluu merkittäviä kyberturvallisuuden vastuita, on usein helppo tunnistaa, mutta roolien jatkuvuuden takaaminen voi olla haastavampaa. On äärimmäisen tärkeää määrittää konkreettiset suunnitelmat kyberturvallisuuden avainroolien (esim. pääkäyttäjien) kouluttamiseen, sijaisuuksien varmistamiseen, testauttamiseen ja arviointiin. On myös tärkeä huomioida, että kyberturvallisuuden vastuut eivät rajoitu vain perinteisiin IT-rooleihin.</v>
      </c>
      <c r="D12" s="753"/>
      <c r="E12" s="753"/>
      <c r="F12" s="753"/>
      <c r="G12" s="753"/>
      <c r="H12" s="753"/>
      <c r="I12" s="753"/>
      <c r="J12" s="753"/>
      <c r="K12" s="471"/>
      <c r="L12" s="483"/>
      <c r="M12" s="545"/>
      <c r="N12" s="483"/>
      <c r="O12" s="473"/>
      <c r="P12" s="473"/>
    </row>
    <row r="13" spans="1:16" s="547" customFormat="1" ht="20" customHeight="1" x14ac:dyDescent="0.3">
      <c r="A13" s="483"/>
      <c r="B13" s="476"/>
      <c r="C13" s="477" t="str">
        <f>IF(VLOOKUP("GEN-LEVEL",Languages!$A:$D,1,TRUE)="GEN-LEVEL",VLOOKUP("GEN-LEVEL",Languages!$A:$D,Kybermittari!$C$7,TRUE),NA())</f>
        <v>Taso</v>
      </c>
      <c r="D13" s="477"/>
      <c r="E13" s="478" t="str">
        <f>IF(VLOOKUP("GEN-PRACTICE",Languages!$A:$D,1,TRUE)="GEN-PRACTICE",VLOOKUP("GEN-PRACTICE",Languages!$A:$D,Kybermittari!$C$7,TRUE),NA())</f>
        <v>Käytäntö</v>
      </c>
      <c r="F13" s="479"/>
      <c r="G13" s="480"/>
      <c r="H13" s="481"/>
      <c r="I13" s="478" t="str">
        <f>IF(VLOOKUP("GEN-ANSWER",Languages!$A:$D,1,TRUE)="GEN-ANSWER",VLOOKUP("GEN-ANSWER",Languages!$A:$D,Kybermittari!$C$7,TRUE),NA())</f>
        <v>Vastaus</v>
      </c>
      <c r="J13" s="480" t="str">
        <f>IF(VLOOKUP("GEN-COMMENT",Languages!$A:$D,1,TRUE)="GEN-COMMENT",VLOOKUP("GEN-COMMENT",Languages!$A:$D,Kybermittari!$C$7,TRUE),NA())</f>
        <v>Kommentti ja viittaukset</v>
      </c>
      <c r="K13" s="482"/>
      <c r="L13" s="483"/>
      <c r="M13" s="545"/>
      <c r="N13" s="483"/>
      <c r="O13" s="546"/>
      <c r="P13" s="546"/>
    </row>
    <row r="14" spans="1:16" s="547" customFormat="1" ht="10" customHeight="1" x14ac:dyDescent="0.3">
      <c r="A14" s="483"/>
      <c r="B14" s="476"/>
      <c r="C14" s="487"/>
      <c r="D14" s="487"/>
      <c r="E14" s="488"/>
      <c r="F14" s="489"/>
      <c r="G14" s="490"/>
      <c r="H14" s="491"/>
      <c r="I14" s="488"/>
      <c r="J14" s="490"/>
      <c r="K14" s="482"/>
      <c r="L14" s="483"/>
      <c r="M14" s="545"/>
      <c r="N14" s="483"/>
      <c r="O14" s="546"/>
      <c r="P14" s="546"/>
    </row>
    <row r="15" spans="1:16" s="495" customFormat="1" ht="35" customHeight="1" x14ac:dyDescent="0.3">
      <c r="A15" s="469"/>
      <c r="B15" s="757"/>
      <c r="C15" s="769">
        <v>1</v>
      </c>
      <c r="D15" s="492" t="s">
        <v>7</v>
      </c>
      <c r="E15" s="750" t="str">
        <f>IF(VLOOKUP(CONCATENATE($C$2,"-",$D15),Languages!$A:$D,1,TRUE)=CONCATENATE($C$2,"-",$D15),VLOOKUP(CONCATENATE($C$2,"-",$D15),Languages!$A:$D,Kybermittari!$C$7,TRUE),NA())</f>
        <v>Kyberturvallisuuteen liittyvät vastuut on tunnistettu toiminnan osa-alueella - vaikka ei välttämättä systemaattisesti ja kaiken kattavasti.</v>
      </c>
      <c r="F15" s="750"/>
      <c r="G15" s="750"/>
      <c r="H15" s="493">
        <f t="shared" ref="H15" si="0">IFERROR(INT(LEFT($I15,1)),0)</f>
        <v>0</v>
      </c>
      <c r="I15" s="54"/>
      <c r="J15" s="526"/>
      <c r="K15" s="494"/>
      <c r="L15" s="469"/>
      <c r="M15" s="545"/>
      <c r="N15" s="469"/>
    </row>
    <row r="16" spans="1:16" s="495" customFormat="1" ht="35" customHeight="1" x14ac:dyDescent="0.3">
      <c r="A16" s="469"/>
      <c r="B16" s="757"/>
      <c r="C16" s="769"/>
      <c r="D16" s="492" t="s">
        <v>9</v>
      </c>
      <c r="E16" s="750" t="str">
        <f>IF(VLOOKUP(CONCATENATE($C$2,"-",$D16),Languages!$A:$D,1,TRUE)=CONCATENATE($C$2,"-",$D16),VLOOKUP(CONCATENATE($C$2,"-",$D16),Languages!$A:$D,Kybermittari!$C$7,TRUE),NA())</f>
        <v>Kyberturvallisuuteen liittyvät vastuut on jaettu nimetyille henkilöille - vaikka ei välttämättä systemaattisesti ja kaiken kattavasti.</v>
      </c>
      <c r="F16" s="750"/>
      <c r="G16" s="750"/>
      <c r="H16" s="493">
        <f>IFERROR(INT(LEFT($I16,1)),0)</f>
        <v>0</v>
      </c>
      <c r="I16" s="54"/>
      <c r="J16" s="526"/>
      <c r="K16" s="494"/>
      <c r="L16" s="469"/>
      <c r="M16" s="545"/>
      <c r="N16" s="469"/>
    </row>
    <row r="17" spans="1:16" s="495" customFormat="1" ht="10" customHeight="1" x14ac:dyDescent="0.3">
      <c r="A17" s="469"/>
      <c r="B17" s="613"/>
      <c r="C17" s="498"/>
      <c r="D17" s="499"/>
      <c r="E17" s="501"/>
      <c r="F17" s="501"/>
      <c r="G17" s="501"/>
      <c r="H17" s="499"/>
      <c r="I17" s="502"/>
      <c r="J17" s="502"/>
      <c r="K17" s="494"/>
      <c r="L17" s="469"/>
      <c r="M17" s="545"/>
      <c r="N17" s="469"/>
    </row>
    <row r="18" spans="1:16" s="495" customFormat="1" ht="59.5" customHeight="1" x14ac:dyDescent="0.3">
      <c r="A18" s="469"/>
      <c r="B18" s="757"/>
      <c r="C18" s="769">
        <v>2</v>
      </c>
      <c r="D18" s="492" t="s">
        <v>10</v>
      </c>
      <c r="E18" s="750" t="str">
        <f>IF(VLOOKUP(CONCATENATE($C$2,"-",$D18),Languages!$A:$D,1,TRUE)=CONCATENATE($C$2,"-",$D18),VLOOKUP(CONCATENATE($C$2,"-",$D18),Languages!$A:$D,Kybermittari!$C$7,TRUE),NA())</f>
        <v>Kyberturvallisuuteen liittyvät vastuut on jaettu nimetyille rooleille, mkl. ulkoisille palveluntarjoajille (esim. internetpalveluntarjoajat, kyberturvallisuuspalvelujen, pilvipalvelujen tai IT-/OT-palvelujen tarjoajat).</v>
      </c>
      <c r="F18" s="750"/>
      <c r="G18" s="750"/>
      <c r="H18" s="493">
        <f>IFERROR(INT(LEFT($I18,1)),0)</f>
        <v>0</v>
      </c>
      <c r="I18" s="54"/>
      <c r="J18" s="526"/>
      <c r="K18" s="494"/>
      <c r="L18" s="549"/>
      <c r="M18" s="545"/>
      <c r="N18" s="549"/>
    </row>
    <row r="19" spans="1:16" s="495" customFormat="1" ht="35" customHeight="1" x14ac:dyDescent="0.3">
      <c r="A19" s="469"/>
      <c r="B19" s="757"/>
      <c r="C19" s="769"/>
      <c r="D19" s="492" t="s">
        <v>11</v>
      </c>
      <c r="E19" s="756" t="str">
        <f>IF(VLOOKUP(CONCATENATE($C$2,"-",$D19),Languages!$A:$D,1,TRUE)=CONCATENATE($C$2,"-",$D19),VLOOKUP(CONCATENATE($C$2,"-",$D19),Languages!$A:$D,Kybermittari!$C$7,TRUE),NA())</f>
        <v>Kyberturvallisuuteen liittyvät vastuut on dokumentoitu (esim. osana tehtävänkuvauksia tai suoriutumistavoitteita).</v>
      </c>
      <c r="F19" s="756"/>
      <c r="G19" s="756"/>
      <c r="H19" s="493">
        <f>IFERROR(INT(LEFT($I19,1)),0)</f>
        <v>0</v>
      </c>
      <c r="I19" s="54"/>
      <c r="J19" s="526"/>
      <c r="K19" s="494"/>
      <c r="L19" s="469"/>
      <c r="M19" s="545"/>
      <c r="N19" s="469"/>
    </row>
    <row r="20" spans="1:16" s="495" customFormat="1" ht="10" customHeight="1" x14ac:dyDescent="0.3">
      <c r="A20" s="469"/>
      <c r="B20" s="757"/>
      <c r="C20" s="498"/>
      <c r="D20" s="499"/>
      <c r="E20" s="615"/>
      <c r="F20" s="615"/>
      <c r="G20" s="615"/>
      <c r="H20" s="499"/>
      <c r="I20" s="502"/>
      <c r="J20" s="502"/>
      <c r="K20" s="494"/>
      <c r="L20" s="469"/>
      <c r="M20" s="545"/>
      <c r="N20" s="469"/>
    </row>
    <row r="21" spans="1:16" s="495" customFormat="1" ht="47" customHeight="1" x14ac:dyDescent="0.3">
      <c r="A21" s="469"/>
      <c r="B21" s="757"/>
      <c r="C21" s="769">
        <v>3</v>
      </c>
      <c r="D21" s="503" t="s">
        <v>12</v>
      </c>
      <c r="E21" s="756" t="str">
        <f>IF(VLOOKUP(CONCATENATE($C$2,"-",$D21),Languages!$A:$D,1,TRUE)=CONCATENATE($C$2,"-",$D21),VLOOKUP(CONCATENATE($C$2,"-",$D21),Languages!$A:$D,Kybermittari!$C$7,TRUE),NA())</f>
        <v>Kyberturvallisuuteen liittyvät vastuut ja työtehtävien vaatimukset katselmoidaan ja päivitetään organisaation määrittämin aikavälein (esim. tietyin aikavälein, henkilöstön vaihtuessa tai toimintatapojen muuttuessa).</v>
      </c>
      <c r="F21" s="756"/>
      <c r="G21" s="756"/>
      <c r="H21" s="493">
        <f>IFERROR(INT(LEFT($I21,1)),0)</f>
        <v>0</v>
      </c>
      <c r="I21" s="54"/>
      <c r="J21" s="527"/>
      <c r="K21" s="504"/>
      <c r="L21" s="469"/>
      <c r="M21" s="545"/>
      <c r="N21" s="469"/>
    </row>
    <row r="22" spans="1:16" s="495" customFormat="1" ht="47" customHeight="1" x14ac:dyDescent="0.3">
      <c r="A22" s="469"/>
      <c r="B22" s="757"/>
      <c r="C22" s="769"/>
      <c r="D22" s="503" t="s">
        <v>13</v>
      </c>
      <c r="E22" s="756" t="str">
        <f>IF(VLOOKUP(CONCATENATE($C$2,"-",$D22),Languages!$A:$D,1,TRUE)=CONCATENATE($C$2,"-",$D22),VLOOKUP(CONCATENATE($C$2,"-",$D22),Languages!$A:$D,Kybermittari!$C$7,TRUE),NA())</f>
        <v>Nimetyille henkilöille jaetut kyberturvallisuuteen liittyvät vastuut ylläpidetään vastuiden kattavuuden ja riittävyyden varmistamiseksi. Tässä huomioidaan myös henkilövaihdosten suunnittelu ("succession planning").</v>
      </c>
      <c r="F22" s="756"/>
      <c r="G22" s="756"/>
      <c r="H22" s="493">
        <f>IFERROR(INT(LEFT($I22,1)),0)</f>
        <v>0</v>
      </c>
      <c r="I22" s="54"/>
      <c r="J22" s="527"/>
      <c r="K22" s="504"/>
      <c r="L22" s="524"/>
      <c r="M22" s="545"/>
      <c r="N22" s="524"/>
    </row>
    <row r="23" spans="1:16" s="343" customFormat="1" ht="30" customHeight="1" x14ac:dyDescent="0.25">
      <c r="A23" s="332"/>
      <c r="B23" s="461"/>
      <c r="C23" s="336">
        <v>2</v>
      </c>
      <c r="D23" s="336" t="str">
        <f>IF(VLOOKUP(CONCATENATE($C$2,"-",C23),Languages!$A:$D,1,TRUE)=CONCATENATE($C$2,"-",C23),VLOOKUP(CONCATENATE($C$2,"-",C23),Languages!$A:$D,Kybermittari!$C$7,TRUE),NA())</f>
        <v>Kyberhenkilöstön kehittäminen</v>
      </c>
      <c r="E23" s="336"/>
      <c r="F23" s="506"/>
      <c r="G23" s="506"/>
      <c r="H23" s="506"/>
      <c r="I23" s="506" t="s">
        <v>19</v>
      </c>
      <c r="J23" s="507"/>
      <c r="K23" s="339"/>
      <c r="L23" s="347"/>
      <c r="M23" s="533"/>
      <c r="N23" s="347"/>
      <c r="O23" s="341"/>
      <c r="P23" s="341"/>
    </row>
    <row r="24" spans="1:16" s="475" customFormat="1" ht="75" customHeight="1" x14ac:dyDescent="0.3">
      <c r="A24" s="469"/>
      <c r="B24" s="470"/>
      <c r="C24" s="753" t="str">
        <f>IF(VLOOKUP(CONCATENATE($C$2,"-",$C23,"-0"),Languages!$A:$D,1,TRUE)=CONCATENATE($C$2,"-",$C23,"-0"),VLOOKUP(CONCATENATE($C$2,"-",$C23,"-0"),Languages!$A:$D,Kybermittari!$C$7,TRUE),NA())</f>
        <v>Organisaation kyberhenkilöstön (eli työntekijöiden, joilla tehtävänkuvaan kuuluu kyberturvallisuuteen liittyviä vastuita) kehittämiseen kuuluu olemassa olevien työntekijöiden kouluttaminen ja tarvittaessa uusien työntekijöiden rekrytointi tunnistettujen osaamispuutteiden täyttämiseksi. Rekrytoinprosesseissa tulee huomioida esimerkiksi se, että sekä rekrytoijat että haastateltavat ovat tietoisia organisaation kyberhenkilöstöön kohdistuvista tarpeista. Lisäksi työntekijöiden (ja ulkoisten toimittajien) tulisi osallistua säännöllisesti koulutuksiin, joilla lisätään henkilöstön kyberturvallisuustietoisuutta (esimerkiksi tietojenkalastelun tai muiden uhkien pienentämiseksi). Koulutusten ja tietoisuuskampanjoiden tehokkuutta tulisi arvioida tarpeen mukaan.</v>
      </c>
      <c r="D24" s="753"/>
      <c r="E24" s="753"/>
      <c r="F24" s="753"/>
      <c r="G24" s="753"/>
      <c r="H24" s="753"/>
      <c r="I24" s="753"/>
      <c r="J24" s="753"/>
      <c r="K24" s="471"/>
      <c r="L24" s="524"/>
      <c r="M24" s="545"/>
      <c r="N24" s="524"/>
      <c r="O24" s="473"/>
      <c r="P24" s="473"/>
    </row>
    <row r="25" spans="1:16" s="547" customFormat="1" ht="20" customHeight="1" x14ac:dyDescent="0.3">
      <c r="A25" s="483"/>
      <c r="B25" s="476"/>
      <c r="C25" s="477" t="str">
        <f>IF(VLOOKUP("GEN-LEVEL",Languages!$A:$D,1,TRUE)="GEN-LEVEL",VLOOKUP("GEN-LEVEL",Languages!$A:$D,Kybermittari!$C$7,TRUE),NA())</f>
        <v>Taso</v>
      </c>
      <c r="D25" s="477"/>
      <c r="E25" s="478" t="str">
        <f>IF(VLOOKUP("GEN-PRACTICE",Languages!$A:$D,1,TRUE)="GEN-PRACTICE",VLOOKUP("GEN-PRACTICE",Languages!$A:$D,Kybermittari!$C$7,TRUE),NA())</f>
        <v>Käytäntö</v>
      </c>
      <c r="F25" s="479"/>
      <c r="G25" s="480"/>
      <c r="H25" s="481"/>
      <c r="I25" s="478" t="str">
        <f>IF(VLOOKUP("GEN-ANSWER",Languages!$A:$D,1,TRUE)="GEN-ANSWER",VLOOKUP("GEN-ANSWER",Languages!$A:$D,Kybermittari!$C$7,TRUE),NA())</f>
        <v>Vastaus</v>
      </c>
      <c r="J25" s="480" t="str">
        <f>IF(VLOOKUP("GEN-COMMENT",Languages!$A:$D,1,TRUE)="GEN-COMMENT",VLOOKUP("GEN-COMMENT",Languages!$A:$D,Kybermittari!$C$7,TRUE),NA())</f>
        <v>Kommentti ja viittaukset</v>
      </c>
      <c r="K25" s="482"/>
      <c r="L25" s="524"/>
      <c r="M25" s="545"/>
      <c r="N25" s="524"/>
      <c r="O25" s="546"/>
      <c r="P25" s="546"/>
    </row>
    <row r="26" spans="1:16" s="547" customFormat="1" ht="10" customHeight="1" x14ac:dyDescent="0.3">
      <c r="A26" s="483"/>
      <c r="B26" s="476"/>
      <c r="C26" s="487"/>
      <c r="D26" s="487"/>
      <c r="E26" s="488"/>
      <c r="F26" s="489"/>
      <c r="G26" s="490"/>
      <c r="H26" s="491"/>
      <c r="I26" s="488"/>
      <c r="J26" s="490"/>
      <c r="K26" s="482"/>
      <c r="L26" s="524"/>
      <c r="M26" s="545"/>
      <c r="N26" s="524"/>
      <c r="O26" s="546"/>
      <c r="P26" s="546"/>
    </row>
    <row r="27" spans="1:16" s="510" customFormat="1" ht="47" customHeight="1" x14ac:dyDescent="0.3">
      <c r="A27" s="524"/>
      <c r="B27" s="749"/>
      <c r="C27" s="765">
        <v>1</v>
      </c>
      <c r="D27" s="508" t="s">
        <v>20</v>
      </c>
      <c r="E27" s="750" t="str">
        <f>IF(VLOOKUP(CONCATENATE($C$2,"-",$D27),Languages!$A:$D,1,TRUE)=CONCATENATE($C$2,"-",$D27),VLOOKUP(CONCATENATE($C$2,"-",$D27),Languages!$A:$D,Kybermittari!$C$7,TRUE),NA())</f>
        <v>Kyberturvallisuuskoulutusta on saatavilla sellaisille työntekijöille, joille on nimetty kyberturvallisuuteen liittyviä vastuita - vaikka ei välttämättä systemaattisesti ja kaiken kattavasti.</v>
      </c>
      <c r="F27" s="750"/>
      <c r="G27" s="750"/>
      <c r="H27" s="493">
        <f>IFERROR(INT(LEFT($I27,1)),0)</f>
        <v>0</v>
      </c>
      <c r="I27" s="54"/>
      <c r="J27" s="526"/>
      <c r="K27" s="509"/>
      <c r="L27" s="524"/>
      <c r="M27" s="545"/>
      <c r="N27" s="524"/>
      <c r="O27" s="495"/>
      <c r="P27" s="495"/>
    </row>
    <row r="28" spans="1:16" s="510" customFormat="1" ht="60" customHeight="1" x14ac:dyDescent="0.3">
      <c r="A28" s="524"/>
      <c r="B28" s="749"/>
      <c r="C28" s="767"/>
      <c r="D28" s="508" t="s">
        <v>21</v>
      </c>
      <c r="E28" s="750" t="str">
        <f>IF(VLOOKUP(CONCATENATE($C$2,"-",$D28),Languages!$A:$D,1,TRUE)=CONCATENATE($C$2,"-",$D28),VLOOKUP(CONCATENATE($C$2,"-",$D28),Languages!$A:$D,Kybermittari!$C$7,TRUE),NA())</f>
        <v>Kybertyöntekijöiden osaamiseen ja taitoihin liittyviä vaatimuksia ja mahdollisia puutteita tunnistetaan sekä nykyisiä että tulevia käyttötarpeita varten. (Kybertyöntekijöitä ovat työntekijät, joille on nimetty kyberturvallisuuteen liittyviä vastuita).</v>
      </c>
      <c r="F28" s="750"/>
      <c r="G28" s="750"/>
      <c r="H28" s="493">
        <f>IFERROR(INT(LEFT($I28,1)),0)</f>
        <v>0</v>
      </c>
      <c r="I28" s="54"/>
      <c r="J28" s="527"/>
      <c r="K28" s="509"/>
      <c r="L28" s="524"/>
      <c r="M28" s="545"/>
      <c r="N28" s="524"/>
      <c r="O28" s="495"/>
      <c r="P28" s="495"/>
    </row>
    <row r="29" spans="1:16" s="510" customFormat="1" ht="10" customHeight="1" x14ac:dyDescent="0.3">
      <c r="A29" s="524"/>
      <c r="B29" s="511"/>
      <c r="C29" s="565"/>
      <c r="D29" s="513"/>
      <c r="E29" s="501"/>
      <c r="F29" s="501"/>
      <c r="G29" s="501"/>
      <c r="H29" s="499"/>
      <c r="I29" s="502"/>
      <c r="J29" s="514"/>
      <c r="K29" s="509"/>
      <c r="L29" s="524"/>
      <c r="M29" s="545"/>
      <c r="N29" s="524"/>
      <c r="O29" s="495"/>
      <c r="P29" s="495"/>
    </row>
    <row r="30" spans="1:16" s="510" customFormat="1" ht="35" customHeight="1" x14ac:dyDescent="0.3">
      <c r="A30" s="524"/>
      <c r="B30" s="511"/>
      <c r="C30" s="765">
        <v>2</v>
      </c>
      <c r="D30" s="508" t="s">
        <v>22</v>
      </c>
      <c r="E30" s="750" t="str">
        <f>IF(VLOOKUP(CONCATENATE($C$2,"-",$D30),Languages!$A:$D,1,TRUE)=CONCATENATE($C$2,"-",$D30),VLOOKUP(CONCATENATE($C$2,"-",$D30),Languages!$A:$D,Kybermittari!$C$7,TRUE),NA())</f>
        <v>Organisaation kybertyöntekijöiden koulutus-, rekrytointi ja sitouttamistoimenpiteiden suunnittelussa huomioidaan tunnistetut puutteet.</v>
      </c>
      <c r="F30" s="750"/>
      <c r="G30" s="750"/>
      <c r="H30" s="493">
        <f>IFERROR(INT(LEFT($I30,1)),0)</f>
        <v>0</v>
      </c>
      <c r="I30" s="54"/>
      <c r="J30" s="527"/>
      <c r="K30" s="509"/>
      <c r="L30" s="524"/>
      <c r="M30" s="545"/>
      <c r="N30" s="524"/>
      <c r="O30" s="495"/>
      <c r="P30" s="495"/>
    </row>
    <row r="31" spans="1:16" s="510" customFormat="1" ht="47.5" customHeight="1" x14ac:dyDescent="0.3">
      <c r="A31" s="524"/>
      <c r="B31" s="511"/>
      <c r="C31" s="767"/>
      <c r="D31" s="508" t="s">
        <v>23</v>
      </c>
      <c r="E31" s="750" t="str">
        <f>IF(VLOOKUP(CONCATENATE($C$2,"-",$D31),Languages!$A:$D,1,TRUE)=CONCATENATE($C$2,"-",$D31),VLOOKUP(CONCATENATE($C$2,"-",$D31),Languages!$A:$D,Kybermittari!$C$7,TRUE),NA())</f>
        <v>Kyberturvallisuuskoulutus on edellytyksenä pääsyoikeuksien myöntämiselle toiminnan osa-alueen toimintavarmuuden kannalta kriittisiin suojattaviin kohteisiin (esim. uusien tai siirtyvien työntekijöiden perehdyttämiskoulutus).</v>
      </c>
      <c r="F31" s="750"/>
      <c r="G31" s="750"/>
      <c r="H31" s="493">
        <f>IFERROR(INT(LEFT($I31,1)),0)</f>
        <v>0</v>
      </c>
      <c r="I31" s="54"/>
      <c r="J31" s="527"/>
      <c r="K31" s="509"/>
      <c r="L31" s="618"/>
      <c r="M31" s="545"/>
      <c r="N31" s="618"/>
      <c r="O31" s="495"/>
      <c r="P31" s="495"/>
    </row>
    <row r="32" spans="1:16" s="510" customFormat="1" ht="10" customHeight="1" x14ac:dyDescent="0.3">
      <c r="A32" s="524"/>
      <c r="B32" s="511"/>
      <c r="C32" s="565"/>
      <c r="D32" s="513"/>
      <c r="E32" s="501"/>
      <c r="F32" s="501"/>
      <c r="G32" s="501"/>
      <c r="H32" s="499"/>
      <c r="I32" s="502"/>
      <c r="J32" s="514"/>
      <c r="K32" s="509"/>
      <c r="L32" s="618"/>
      <c r="M32" s="545"/>
      <c r="N32" s="618"/>
      <c r="O32" s="495"/>
      <c r="P32" s="495"/>
    </row>
    <row r="33" spans="1:16" s="510" customFormat="1" ht="35" customHeight="1" x14ac:dyDescent="0.3">
      <c r="A33" s="524"/>
      <c r="B33" s="511"/>
      <c r="C33" s="765">
        <v>3</v>
      </c>
      <c r="D33" s="508" t="s">
        <v>24</v>
      </c>
      <c r="E33" s="750" t="str">
        <f>IF(VLOOKUP(CONCATENATE($C$2,"-",$D33),Languages!$A:$D,1,TRUE)=CONCATENATE($C$2,"-",$D33),VLOOKUP(CONCATENATE($C$2,"-",$D33),Languages!$A:$D,Kybermittari!$C$7,TRUE),NA())</f>
        <v>Koulutusohjelmien tehokkuutta arvioidaan organisaation määrittelemin aikavälein ja koulutusta kehitetään tarpeen vaatiessa.</v>
      </c>
      <c r="F33" s="750"/>
      <c r="G33" s="750"/>
      <c r="H33" s="493">
        <f>IFERROR(INT(LEFT($I33,1)),0)</f>
        <v>0</v>
      </c>
      <c r="I33" s="54"/>
      <c r="J33" s="527"/>
      <c r="K33" s="509"/>
      <c r="L33" s="524"/>
      <c r="M33" s="545"/>
      <c r="N33" s="524"/>
      <c r="O33" s="495"/>
      <c r="P33" s="495"/>
    </row>
    <row r="34" spans="1:16" s="510" customFormat="1" ht="46" customHeight="1" x14ac:dyDescent="0.3">
      <c r="A34" s="524"/>
      <c r="B34" s="511"/>
      <c r="C34" s="767"/>
      <c r="D34" s="508" t="s">
        <v>112</v>
      </c>
      <c r="E34" s="750" t="str">
        <f>IF(VLOOKUP(CONCATENATE($C$2,"-",$D34),Languages!$A:$D,1,TRUE)=CONCATENATE($C$2,"-",$D34),VLOOKUP(CONCATENATE($C$2,"-",$D34),Languages!$A:$D,Kybermittari!$C$7,TRUE),NA())</f>
        <v>Koulutusohjelmiin sisältyy mahdollisuus jatko- ja lisäkoulutukseen niille työntekijöille, joilla on merkittäviä kyberturvallisuuteen liittyviä vastuita.</v>
      </c>
      <c r="F34" s="750"/>
      <c r="G34" s="750"/>
      <c r="H34" s="493">
        <f>IFERROR(INT(LEFT($I34,1)),0)</f>
        <v>0</v>
      </c>
      <c r="I34" s="54"/>
      <c r="J34" s="527"/>
      <c r="K34" s="509"/>
      <c r="L34" s="483"/>
      <c r="M34" s="545"/>
      <c r="N34" s="523"/>
      <c r="O34" s="495"/>
      <c r="P34" s="495"/>
    </row>
    <row r="35" spans="1:16" s="343" customFormat="1" ht="30" customHeight="1" x14ac:dyDescent="0.25">
      <c r="A35" s="332"/>
      <c r="B35" s="461"/>
      <c r="C35" s="336">
        <v>3</v>
      </c>
      <c r="D35" s="336" t="str">
        <f>IF(VLOOKUP(CONCATENATE($C$2,"-",C35),Languages!$A:$D,1,TRUE)=CONCATENATE($C$2,"-",C35),VLOOKUP(CONCATENATE($C$2,"-",C35),Languages!$A:$D,Kybermittari!$C$7,TRUE),NA())</f>
        <v>Henkilöstön hallintatoimet</v>
      </c>
      <c r="E35" s="336"/>
      <c r="F35" s="506"/>
      <c r="G35" s="506"/>
      <c r="H35" s="506"/>
      <c r="I35" s="506" t="s">
        <v>19</v>
      </c>
      <c r="J35" s="507"/>
      <c r="K35" s="339"/>
      <c r="L35" s="332"/>
      <c r="M35" s="533"/>
      <c r="N35" s="636"/>
      <c r="O35" s="341"/>
      <c r="P35" s="341"/>
    </row>
    <row r="36" spans="1:16" s="510" customFormat="1" ht="62" customHeight="1" x14ac:dyDescent="0.3">
      <c r="A36" s="524"/>
      <c r="B36" s="511"/>
      <c r="C36" s="753" t="str">
        <f>IF(VLOOKUP(CONCATENATE($C$2,"-",$C35,"-0"),Languages!$A:$D,1,TRUE)=CONCATENATE($C$2,"-",$C35,"-0"),VLOOKUP(CONCATENATE($C$2,"-",$C35,"-0"),Languages!$A:$D,Kybermittari!$C$7,TRUE),NA())</f>
        <v>Henkilöstön hallintatoimiin kuuluvat esimerkiksi työntekijöiden taustatarkastukset (esim. turvallisuusselvitys) siten, että tarkempia selvityksiä teetetään työtehtäviin, joihin kuuluu pääsy toiminnan osa-alueen toimintavarmuuden kannalta tärkeisiin suojattaviin kohteisiin. Esimerkiksi pääkäyttäjille (joilla on tyypillisesti oikeudet tehdä muutoksia asetuksiin, muokata tai poistaa lokitietoja, luoda uusia tunnuksia tai muokata salasanoja) määritellään korkeampi riskitaso ja tehdään tarvittavat toimenpiteet järjestelmien suojaamiseksi näiden käyttäjien tahallisilta tai tahattomilta toimilta.</v>
      </c>
      <c r="D36" s="753"/>
      <c r="E36" s="753"/>
      <c r="F36" s="753"/>
      <c r="G36" s="753"/>
      <c r="H36" s="753"/>
      <c r="I36" s="753"/>
      <c r="J36" s="753"/>
      <c r="K36" s="509"/>
      <c r="L36" s="483"/>
      <c r="M36" s="545"/>
      <c r="N36" s="523"/>
      <c r="O36" s="495"/>
      <c r="P36" s="495"/>
    </row>
    <row r="37" spans="1:16" s="547" customFormat="1" ht="20" customHeight="1" x14ac:dyDescent="0.3">
      <c r="A37" s="483"/>
      <c r="B37" s="476"/>
      <c r="C37" s="477" t="str">
        <f>IF(VLOOKUP("GEN-LEVEL",Languages!$A:$D,1,TRUE)="GEN-LEVEL",VLOOKUP("GEN-LEVEL",Languages!$A:$D,Kybermittari!$C$7,TRUE),NA())</f>
        <v>Taso</v>
      </c>
      <c r="D37" s="477"/>
      <c r="E37" s="478" t="str">
        <f>IF(VLOOKUP("GEN-PRACTICE",Languages!$A:$D,1,TRUE)="GEN-PRACTICE",VLOOKUP("GEN-PRACTICE",Languages!$A:$D,Kybermittari!$C$7,TRUE),NA())</f>
        <v>Käytäntö</v>
      </c>
      <c r="F37" s="479"/>
      <c r="G37" s="480"/>
      <c r="H37" s="481"/>
      <c r="I37" s="478" t="str">
        <f>IF(VLOOKUP("GEN-ANSWER",Languages!$A:$D,1,TRUE)="GEN-ANSWER",VLOOKUP("GEN-ANSWER",Languages!$A:$D,Kybermittari!$C$7,TRUE),NA())</f>
        <v>Vastaus</v>
      </c>
      <c r="J37" s="480" t="str">
        <f>IF(VLOOKUP("GEN-COMMENT",Languages!$A:$D,1,TRUE)="GEN-COMMENT",VLOOKUP("GEN-COMMENT",Languages!$A:$D,Kybermittari!$C$7,TRUE),NA())</f>
        <v>Kommentti ja viittaukset</v>
      </c>
      <c r="K37" s="482"/>
      <c r="L37" s="483"/>
      <c r="M37" s="545"/>
      <c r="N37" s="523"/>
      <c r="O37" s="546"/>
      <c r="P37" s="546"/>
    </row>
    <row r="38" spans="1:16" s="547" customFormat="1" ht="10" customHeight="1" x14ac:dyDescent="0.3">
      <c r="A38" s="483"/>
      <c r="B38" s="476"/>
      <c r="C38" s="487"/>
      <c r="D38" s="487"/>
      <c r="E38" s="488"/>
      <c r="F38" s="489"/>
      <c r="G38" s="490"/>
      <c r="H38" s="491"/>
      <c r="I38" s="488"/>
      <c r="J38" s="490"/>
      <c r="K38" s="482"/>
      <c r="L38" s="483"/>
      <c r="M38" s="545"/>
      <c r="N38" s="523"/>
      <c r="O38" s="546"/>
      <c r="P38" s="546"/>
    </row>
    <row r="39" spans="1:16" s="510" customFormat="1" ht="75" customHeight="1" x14ac:dyDescent="0.3">
      <c r="A39" s="524"/>
      <c r="B39" s="511"/>
      <c r="C39" s="765">
        <v>1</v>
      </c>
      <c r="D39" s="508" t="s">
        <v>25</v>
      </c>
      <c r="E39" s="750" t="str">
        <f>IF(VLOOKUP(CONCATENATE($C$2,"-",$D39),Languages!$A:$D,1,TRUE)=CONCATENATE($C$2,"-",$D39),VLOOKUP(CONCATENATE($C$2,"-",$D39),Languages!$A:$D,Kybermittari!$C$7,TRUE),NA())</f>
        <v>Kun organisaatio palkkaa uusia työntekijöitä tehtäviin, joissa on pääsy toiminnan osa-alueen toimintavarmuuden kannalta kriittisiin suojattaviin kohteisiin, näille työntekijöille teetetään asianmukaiset taustatarkistukset (esim. turvallisuusselvitys, huumetesti) - vaikka ei välttämättä systemaattisesti ja kaiken kattavasti.</v>
      </c>
      <c r="F39" s="750"/>
      <c r="G39" s="750"/>
      <c r="H39" s="493">
        <f>IFERROR(INT(LEFT($I39,1)),0)</f>
        <v>0</v>
      </c>
      <c r="I39" s="54"/>
      <c r="J39" s="527"/>
      <c r="K39" s="509"/>
      <c r="L39" s="524"/>
      <c r="M39" s="545"/>
      <c r="N39" s="524"/>
      <c r="O39" s="495"/>
      <c r="P39" s="495"/>
    </row>
    <row r="40" spans="1:16" s="510" customFormat="1" ht="35" customHeight="1" x14ac:dyDescent="0.3">
      <c r="A40" s="524"/>
      <c r="B40" s="511"/>
      <c r="C40" s="767"/>
      <c r="D40" s="508" t="s">
        <v>26</v>
      </c>
      <c r="E40" s="750" t="str">
        <f>IF(VLOOKUP(CONCATENATE($C$2,"-",$D40),Languages!$A:$D,1,TRUE)=CONCATENATE($C$2,"-",$D40),VLOOKUP(CONCATENATE($C$2,"-",$D40),Languages!$A:$D,Kybermittari!$C$7,TRUE),NA())</f>
        <v>Työsuhteen päättymiseen liittyvissä menettelyissä on huomioitu kyberturvallisuus - vaikka ei välttämättä systemaattisesti ja kaiken kattavasti.</v>
      </c>
      <c r="F40" s="750"/>
      <c r="G40" s="750"/>
      <c r="H40" s="493">
        <f>IFERROR(INT(LEFT($I40,1)),0)</f>
        <v>0</v>
      </c>
      <c r="I40" s="54"/>
      <c r="J40" s="527"/>
      <c r="K40" s="509"/>
      <c r="L40" s="524"/>
      <c r="M40" s="545"/>
      <c r="N40" s="524"/>
      <c r="O40" s="495"/>
      <c r="P40" s="495"/>
    </row>
    <row r="41" spans="1:16" s="510" customFormat="1" ht="10" customHeight="1" x14ac:dyDescent="0.3">
      <c r="A41" s="524"/>
      <c r="B41" s="511"/>
      <c r="C41" s="565"/>
      <c r="D41" s="513"/>
      <c r="E41" s="501"/>
      <c r="F41" s="501"/>
      <c r="G41" s="501"/>
      <c r="H41" s="499"/>
      <c r="I41" s="502"/>
      <c r="J41" s="514"/>
      <c r="K41" s="509"/>
      <c r="L41" s="524"/>
      <c r="M41" s="545"/>
      <c r="N41" s="524"/>
      <c r="O41" s="495"/>
      <c r="P41" s="495"/>
    </row>
    <row r="42" spans="1:16" s="510" customFormat="1" ht="47" customHeight="1" x14ac:dyDescent="0.3">
      <c r="A42" s="524"/>
      <c r="B42" s="511"/>
      <c r="C42" s="768">
        <v>2</v>
      </c>
      <c r="D42" s="508" t="s">
        <v>27</v>
      </c>
      <c r="E42" s="750" t="str">
        <f>IF(VLOOKUP(CONCATENATE($C$2,"-",$D42),Languages!$A:$D,1,TRUE)=CONCATENATE($C$2,"-",$D42),VLOOKUP(CONCATENATE($C$2,"-",$D42),Languages!$A:$D,Kybermittari!$C$7,TRUE),NA())</f>
        <v>Niille työntekijöille, joilla on pääsy toiminnan osa-alueen toimintavarmuuden kannalta kriittisiin suojattaviin kohteisiin, teetetään asianmukainen taustatarkistus organisaation määrittelemin aikavälein.</v>
      </c>
      <c r="F42" s="750"/>
      <c r="G42" s="750"/>
      <c r="H42" s="493">
        <f>IFERROR(INT(LEFT($I42,1)),0)</f>
        <v>0</v>
      </c>
      <c r="I42" s="54"/>
      <c r="J42" s="527"/>
      <c r="K42" s="509"/>
      <c r="L42" s="524"/>
      <c r="M42" s="545"/>
      <c r="N42" s="524"/>
      <c r="O42" s="495"/>
      <c r="P42" s="495"/>
    </row>
    <row r="43" spans="1:16" s="510" customFormat="1" ht="35" customHeight="1" x14ac:dyDescent="0.3">
      <c r="A43" s="524"/>
      <c r="B43" s="511"/>
      <c r="C43" s="768"/>
      <c r="D43" s="508" t="s">
        <v>28</v>
      </c>
      <c r="E43" s="750" t="str">
        <f>IF(VLOOKUP(CONCATENATE($C$2,"-",$D43),Languages!$A:$D,1,TRUE)=CONCATENATE($C$2,"-",$D43),VLOOKUP(CONCATENATE($C$2,"-",$D43),Languages!$A:$D,Kybermittari!$C$7,TRUE),NA())</f>
        <v>Työntekijöiden sisäisiin siirtoihin liittyvissä menettelyissä on huomioitu kyberturvallisuus.</v>
      </c>
      <c r="F43" s="750"/>
      <c r="G43" s="750"/>
      <c r="H43" s="493">
        <f>IFERROR(INT(LEFT($I43,1)),0)</f>
        <v>0</v>
      </c>
      <c r="I43" s="54"/>
      <c r="J43" s="527"/>
      <c r="K43" s="509"/>
      <c r="L43" s="524"/>
      <c r="M43" s="545"/>
      <c r="N43" s="524"/>
      <c r="O43" s="495"/>
      <c r="P43" s="495"/>
    </row>
    <row r="44" spans="1:16" s="510" customFormat="1" ht="10" customHeight="1" x14ac:dyDescent="0.3">
      <c r="A44" s="524"/>
      <c r="B44" s="511"/>
      <c r="C44" s="565"/>
      <c r="D44" s="513"/>
      <c r="E44" s="501"/>
      <c r="F44" s="501"/>
      <c r="G44" s="501"/>
      <c r="H44" s="499"/>
      <c r="I44" s="502"/>
      <c r="J44" s="514"/>
      <c r="K44" s="509"/>
      <c r="L44" s="524"/>
      <c r="M44" s="545"/>
      <c r="N44" s="524"/>
      <c r="O44" s="495"/>
      <c r="P44" s="495"/>
    </row>
    <row r="45" spans="1:16" s="510" customFormat="1" ht="47" customHeight="1" x14ac:dyDescent="0.3">
      <c r="A45" s="524"/>
      <c r="B45" s="511"/>
      <c r="C45" s="768">
        <v>3</v>
      </c>
      <c r="D45" s="508" t="s">
        <v>29</v>
      </c>
      <c r="E45" s="750" t="str">
        <f>IF(VLOOKUP(CONCATENATE($C$2,"-",$D45),Languages!$A:$D,1,TRUE)=CONCATENATE($C$2,"-",$D45),VLOOKUP(CONCATENATE($C$2,"-",$D45),Languages!$A:$D,Kybermittari!$C$7,TRUE),NA())</f>
        <v>Jokaista työtehtävää varten tehdään asianmukaiset taustatarkistukset, jotka ovat suhteessa tehtäväkohtaiseen riskiin. Tämä kattaa sekä organisaation työntekijät, toimittajat että alihankkijat.</v>
      </c>
      <c r="F45" s="750"/>
      <c r="G45" s="750"/>
      <c r="H45" s="493">
        <f>IFERROR(INT(LEFT($I45,1)),0)</f>
        <v>0</v>
      </c>
      <c r="I45" s="54"/>
      <c r="J45" s="527"/>
      <c r="K45" s="509"/>
      <c r="L45" s="524"/>
      <c r="M45" s="545"/>
      <c r="N45" s="524"/>
      <c r="O45" s="495"/>
      <c r="P45" s="495"/>
    </row>
    <row r="46" spans="1:16" s="510" customFormat="1" ht="46.5" customHeight="1" x14ac:dyDescent="0.3">
      <c r="A46" s="524"/>
      <c r="B46" s="511"/>
      <c r="C46" s="768"/>
      <c r="D46" s="508" t="s">
        <v>30</v>
      </c>
      <c r="E46" s="750" t="str">
        <f>IF(VLOOKUP(CONCATENATE($C$2,"-",$D46),Languages!$A:$D,1,TRUE)=CONCATENATE($C$2,"-",$D46),VLOOKUP(CONCATENATE($C$2,"-",$D46),Languages!$A:$D,Kybermittari!$C$7,TRUE),NA())</f>
        <v>Organisaatiolla on virallinen menettelytapa tilanteisiin, joissa työntekijät lyövät laimin turvapolitiikan tai -säännöstön asettamia vaatimuksia.</v>
      </c>
      <c r="F46" s="750"/>
      <c r="G46" s="750"/>
      <c r="H46" s="493">
        <f>IFERROR(INT(LEFT($I46,1)),0)</f>
        <v>0</v>
      </c>
      <c r="I46" s="54"/>
      <c r="J46" s="527"/>
      <c r="K46" s="509"/>
      <c r="L46" s="524"/>
      <c r="M46" s="545"/>
      <c r="N46" s="524"/>
      <c r="O46" s="495"/>
      <c r="P46" s="495"/>
    </row>
    <row r="47" spans="1:16" s="343" customFormat="1" ht="30" customHeight="1" x14ac:dyDescent="0.25">
      <c r="A47" s="332"/>
      <c r="B47" s="461"/>
      <c r="C47" s="336">
        <v>4</v>
      </c>
      <c r="D47" s="336" t="str">
        <f>IF(VLOOKUP(CONCATENATE($C$2,"-",C47),Languages!$A:$D,1,TRUE)=CONCATENATE($C$2,"-",C47),VLOOKUP(CONCATENATE($C$2,"-",C47),Languages!$A:$D,Kybermittari!$C$7,TRUE),NA())</f>
        <v>Kybertietoisuuden lisääminen</v>
      </c>
      <c r="E47" s="336"/>
      <c r="F47" s="506"/>
      <c r="G47" s="506"/>
      <c r="H47" s="506"/>
      <c r="I47" s="506" t="s">
        <v>19</v>
      </c>
      <c r="J47" s="507"/>
      <c r="K47" s="339"/>
      <c r="L47" s="340"/>
      <c r="M47" s="533"/>
      <c r="N47" s="340"/>
      <c r="O47" s="341"/>
      <c r="P47" s="341"/>
    </row>
    <row r="48" spans="1:16" s="510" customFormat="1" ht="90" customHeight="1" x14ac:dyDescent="0.3">
      <c r="A48" s="524"/>
      <c r="B48" s="511"/>
      <c r="C48" s="753" t="str">
        <f>IF(VLOOKUP(CONCATENATE($C$2,"-",$C47,"-0"),Languages!$A:$D,1,TRUE)=CONCATENATE($C$2,"-",$C47,"-0"),VLOOKUP(CONCATENATE($C$2,"-",$C47,"-0"),Languages!$A:$D,Kybermittari!$C$7,TRUE),NA())</f>
        <v>Kybertietoisuuden lisääminen on yhtä tärkeää organisaation kyberturvallisuuden parantamiseksi kuin teknisten kontrollien toteuttaminen. Organisaatioon kohdistuva kyberhyökkäys alkaa usein hankkimalla jalansija organisaation IT- tai OT-järjestelmiin. Hyökkääjä voi esimerkiksi ujuttaa organisaation verkkoon haitallisia tiedostoja tai laitteita varomattoman työntekijän tai alihankkijan avulla. Organisaation tulee jakaa tietoa organisaation sisällä, jotta henkilöstö osaisi paremmin tunnistaa epäilyttävän toiminnan, roskapostin tai tietojenkalastelun tunnistamiseksi ja tunnistaisi miten välttää jakamasta organisaation luottamuksellisia tietoja mahdolliselle hyökkääjälle. Tietoa toimialan uusimmista uhkista ja haavoittuvuuksista voidaan jakaa esimerkiksi organisaation sisäisten verkkosivujen kautta. Mikäli mitään tietoa uhkista, haavoittuvuuksista tai parhaista käytännöistä ei jaeta organisaatiossa saattaa turvallisuuskäytäntöjen ja turvallisten toimintatapojen noudattaminen alkaa lipsua organisaatiossa.</v>
      </c>
      <c r="D48" s="753"/>
      <c r="E48" s="753"/>
      <c r="F48" s="753"/>
      <c r="G48" s="753"/>
      <c r="H48" s="753"/>
      <c r="I48" s="753"/>
      <c r="J48" s="753"/>
      <c r="K48" s="509"/>
      <c r="L48" s="524"/>
      <c r="M48" s="545"/>
      <c r="N48" s="524"/>
      <c r="O48" s="495"/>
      <c r="P48" s="495"/>
    </row>
    <row r="49" spans="1:16" s="547" customFormat="1" ht="20" customHeight="1" x14ac:dyDescent="0.3">
      <c r="A49" s="483"/>
      <c r="B49" s="476"/>
      <c r="C49" s="477" t="str">
        <f>IF(VLOOKUP("GEN-LEVEL",Languages!$A:$D,1,TRUE)="GEN-LEVEL",VLOOKUP("GEN-LEVEL",Languages!$A:$D,Kybermittari!$C$7,TRUE),NA())</f>
        <v>Taso</v>
      </c>
      <c r="D49" s="477"/>
      <c r="E49" s="478" t="str">
        <f>IF(VLOOKUP("GEN-PRACTICE",Languages!$A:$D,1,TRUE)="GEN-PRACTICE",VLOOKUP("GEN-PRACTICE",Languages!$A:$D,Kybermittari!$C$7,TRUE),NA())</f>
        <v>Käytäntö</v>
      </c>
      <c r="F49" s="479"/>
      <c r="G49" s="480"/>
      <c r="H49" s="481"/>
      <c r="I49" s="478" t="str">
        <f>IF(VLOOKUP("GEN-ANSWER",Languages!$A:$D,1,TRUE)="GEN-ANSWER",VLOOKUP("GEN-ANSWER",Languages!$A:$D,Kybermittari!$C$7,TRUE),NA())</f>
        <v>Vastaus</v>
      </c>
      <c r="J49" s="480" t="str">
        <f>IF(VLOOKUP("GEN-COMMENT",Languages!$A:$D,1,TRUE)="GEN-COMMENT",VLOOKUP("GEN-COMMENT",Languages!$A:$D,Kybermittari!$C$7,TRUE),NA())</f>
        <v>Kommentti ja viittaukset</v>
      </c>
      <c r="K49" s="482"/>
      <c r="L49" s="483"/>
      <c r="M49" s="545"/>
      <c r="N49" s="523"/>
      <c r="O49" s="546"/>
      <c r="P49" s="546"/>
    </row>
    <row r="50" spans="1:16" s="547" customFormat="1" ht="10" customHeight="1" x14ac:dyDescent="0.3">
      <c r="A50" s="483"/>
      <c r="B50" s="476"/>
      <c r="C50" s="487"/>
      <c r="D50" s="487"/>
      <c r="E50" s="488"/>
      <c r="F50" s="489"/>
      <c r="G50" s="490"/>
      <c r="H50" s="491"/>
      <c r="I50" s="488"/>
      <c r="J50" s="490"/>
      <c r="K50" s="482"/>
      <c r="L50" s="483"/>
      <c r="M50" s="545"/>
      <c r="N50" s="523"/>
      <c r="O50" s="546"/>
      <c r="P50" s="546"/>
    </row>
    <row r="51" spans="1:16" s="510" customFormat="1" ht="35" customHeight="1" x14ac:dyDescent="0.3">
      <c r="A51" s="524"/>
      <c r="B51" s="511"/>
      <c r="C51" s="557">
        <v>1</v>
      </c>
      <c r="D51" s="508" t="s">
        <v>126</v>
      </c>
      <c r="E51" s="750" t="str">
        <f>IF(VLOOKUP(CONCATENATE($C$2,"-",$D51),Languages!$A:$D,1,TRUE)=CONCATENATE($C$2,"-",$D51),VLOOKUP(CONCATENATE($C$2,"-",$D51),Languages!$A:$D,Kybermittari!$C$7,TRUE),NA())</f>
        <v>Organisaatio pyrkii tietoisilla toimilla lisäämään (koko) henkilöstön kybertietoisuutta - vaikka ei välttämättä systemaattisesti ja kaiken kattavasti.</v>
      </c>
      <c r="F51" s="750"/>
      <c r="G51" s="750"/>
      <c r="H51" s="493">
        <f>IFERROR(INT(LEFT($I51,1)),0)</f>
        <v>0</v>
      </c>
      <c r="I51" s="54"/>
      <c r="J51" s="527"/>
      <c r="K51" s="509"/>
      <c r="L51" s="483"/>
      <c r="M51" s="545"/>
      <c r="N51" s="523"/>
      <c r="O51" s="495"/>
      <c r="P51" s="495"/>
    </row>
    <row r="52" spans="1:16" s="510" customFormat="1" ht="10" customHeight="1" x14ac:dyDescent="0.3">
      <c r="A52" s="524"/>
      <c r="B52" s="511"/>
      <c r="C52" s="565"/>
      <c r="D52" s="513"/>
      <c r="E52" s="501"/>
      <c r="F52" s="501"/>
      <c r="G52" s="501"/>
      <c r="H52" s="499"/>
      <c r="I52" s="502"/>
      <c r="J52" s="514"/>
      <c r="K52" s="509"/>
      <c r="L52" s="483"/>
      <c r="M52" s="545"/>
      <c r="N52" s="523"/>
      <c r="O52" s="495"/>
      <c r="P52" s="495"/>
    </row>
    <row r="53" spans="1:16" s="510" customFormat="1" ht="35" customHeight="1" x14ac:dyDescent="0.3">
      <c r="A53" s="524"/>
      <c r="B53" s="511"/>
      <c r="C53" s="768">
        <v>2</v>
      </c>
      <c r="D53" s="508" t="s">
        <v>129</v>
      </c>
      <c r="E53" s="750" t="str">
        <f>IF(VLOOKUP(CONCATENATE($C$2,"-",$D53),Languages!$A:$D,1,TRUE)=CONCATENATE($C$2,"-",$D53),VLOOKUP(CONCATENATE($C$2,"-",$D53),Languages!$A:$D,Kybermittari!$C$7,TRUE),NA())</f>
        <v>Organisaatio on asettanut tavoitteet henkilöstön kybertietoisuuden lisäämiseen tähtääville toimenpiteille ja näitä tavoitteita päivitetään.</v>
      </c>
      <c r="F53" s="750"/>
      <c r="G53" s="750"/>
      <c r="H53" s="493">
        <f>IFERROR(INT(LEFT($I53,1)),0)</f>
        <v>0</v>
      </c>
      <c r="I53" s="54"/>
      <c r="J53" s="527"/>
      <c r="K53" s="509"/>
      <c r="L53" s="483"/>
      <c r="M53" s="545"/>
      <c r="N53" s="523"/>
      <c r="O53" s="495"/>
      <c r="P53" s="495"/>
    </row>
    <row r="54" spans="1:16" s="510" customFormat="1" ht="35" customHeight="1" x14ac:dyDescent="0.3">
      <c r="A54" s="524"/>
      <c r="B54" s="511"/>
      <c r="C54" s="768"/>
      <c r="D54" s="508" t="s">
        <v>132</v>
      </c>
      <c r="E54" s="750" t="str">
        <f>IF(VLOOKUP(CONCATENATE($C$2,"-",$D54),Languages!$A:$D,1,TRUE)=CONCATENATE($C$2,"-",$D54),VLOOKUP(CONCATENATE($C$2,"-",$D54),Languages!$A:$D,Kybermittari!$C$7,TRUE),NA())</f>
        <v>Kybertietoisuuden lisäämiseen tähtäävien toimenpiteiden sisältöön vaikuttaa organisaation määrittämä uhkaprofiili [kts. THREAT-1d].</v>
      </c>
      <c r="F54" s="750"/>
      <c r="G54" s="750"/>
      <c r="H54" s="493">
        <f>IFERROR(INT(LEFT($I54,1)),0)</f>
        <v>0</v>
      </c>
      <c r="I54" s="54"/>
      <c r="J54" s="527"/>
      <c r="K54" s="509"/>
      <c r="L54" s="483"/>
      <c r="M54" s="545"/>
      <c r="N54" s="523"/>
      <c r="O54" s="495"/>
      <c r="P54" s="495"/>
    </row>
    <row r="55" spans="1:16" s="510" customFormat="1" ht="10" customHeight="1" x14ac:dyDescent="0.3">
      <c r="A55" s="524"/>
      <c r="B55" s="511"/>
      <c r="C55" s="565"/>
      <c r="D55" s="513"/>
      <c r="E55" s="501"/>
      <c r="F55" s="501"/>
      <c r="G55" s="501"/>
      <c r="H55" s="499"/>
      <c r="I55" s="502"/>
      <c r="J55" s="514"/>
      <c r="K55" s="509"/>
      <c r="L55" s="483"/>
      <c r="M55" s="545"/>
      <c r="N55" s="523"/>
      <c r="O55" s="495"/>
      <c r="P55" s="495"/>
    </row>
    <row r="56" spans="1:16" s="510" customFormat="1" ht="35" customHeight="1" x14ac:dyDescent="0.3">
      <c r="A56" s="524"/>
      <c r="B56" s="511"/>
      <c r="C56" s="768">
        <v>3</v>
      </c>
      <c r="D56" s="508" t="s">
        <v>135</v>
      </c>
      <c r="E56" s="750" t="str">
        <f>IF(VLOOKUP(CONCATENATE($C$2,"-",$D56),Languages!$A:$D,1,TRUE)=CONCATENATE($C$2,"-",$D56),VLOOKUP(CONCATENATE($C$2,"-",$D56),Languages!$A:$D,Kybermittari!$C$7,TRUE),NA())</f>
        <v>Kybertietoisuuden toimenpiteisiin vaikuttavat organisaation ennalta määrittämät prosessit ja toimintamallit [kts. SITUATION-3h].</v>
      </c>
      <c r="F56" s="750"/>
      <c r="G56" s="750"/>
      <c r="H56" s="493">
        <f>IFERROR(INT(LEFT($I56,1)),0)</f>
        <v>0</v>
      </c>
      <c r="I56" s="54"/>
      <c r="J56" s="527"/>
      <c r="K56" s="509"/>
      <c r="L56" s="524"/>
      <c r="M56" s="545"/>
      <c r="N56" s="524"/>
      <c r="O56" s="495"/>
      <c r="P56" s="495"/>
    </row>
    <row r="57" spans="1:16" s="510" customFormat="1" ht="46.5" customHeight="1" x14ac:dyDescent="0.3">
      <c r="A57" s="524"/>
      <c r="B57" s="511"/>
      <c r="C57" s="768"/>
      <c r="D57" s="508" t="s">
        <v>138</v>
      </c>
      <c r="E57" s="750" t="str">
        <f>IF(VLOOKUP(CONCATENATE($C$2,"-",$D57),Languages!$A:$D,1,TRUE)=CONCATENATE($C$2,"-",$D57),VLOOKUP(CONCATENATE($C$2,"-",$D57),Languages!$A:$D,Kybermittari!$C$7,TRUE),NA())</f>
        <v>Kybertietoisuuden lisäämiseen tähtäävien toimenpiteiden toimivuutta arvioidaan organisaation määrittelemin aikavälein ja niitä kehitetään tarpeen vaatiessa.</v>
      </c>
      <c r="F57" s="750"/>
      <c r="G57" s="750"/>
      <c r="H57" s="493">
        <f>IFERROR(INT(LEFT($I57,1)),0)</f>
        <v>0</v>
      </c>
      <c r="I57" s="54"/>
      <c r="J57" s="527"/>
      <c r="K57" s="509"/>
      <c r="L57" s="524"/>
      <c r="M57" s="545"/>
      <c r="N57" s="524"/>
      <c r="O57" s="495"/>
      <c r="P57" s="495"/>
    </row>
    <row r="58" spans="1:16" s="343" customFormat="1" ht="30" customHeight="1" x14ac:dyDescent="0.25">
      <c r="A58" s="332"/>
      <c r="B58" s="461"/>
      <c r="C58" s="336">
        <v>5</v>
      </c>
      <c r="D58" s="336" t="str">
        <f>IF(VLOOKUP(CONCATENATE($C$2,"-",C58),Languages!$A:$D,1,TRUE)=CONCATENATE($C$2,"-",C58),VLOOKUP(CONCATENATE($C$2,"-",C58),Languages!$A:$D,Kybermittari!$C$7,TRUE),NA())</f>
        <v>Yleisiä hallintatoimia</v>
      </c>
      <c r="E58" s="336"/>
      <c r="F58" s="506"/>
      <c r="G58" s="506"/>
      <c r="H58" s="506"/>
      <c r="I58" s="506" t="s">
        <v>19</v>
      </c>
      <c r="J58" s="507"/>
      <c r="K58" s="339"/>
      <c r="L58" s="347"/>
      <c r="M58" s="533"/>
      <c r="N58" s="347"/>
      <c r="O58" s="341"/>
      <c r="P58" s="341"/>
    </row>
    <row r="59" spans="1:16" s="475" customFormat="1" ht="48.5" customHeight="1" x14ac:dyDescent="0.3">
      <c r="A59" s="524"/>
      <c r="B59" s="525"/>
      <c r="C59" s="753" t="str">
        <f>IF(VLOOKUP(CONCATENATE($C$2,"-",$C58,"-0"),Languages!$A:$D,1,TRUE)=CONCATENATE($C$2,"-",$C58,"-0"),VLOOKUP(CONCATENATE($C$2,"-",$C58,"-0"),Languages!$A:$D,Kybermittari!$C$7,TRUE),NA())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59" s="753"/>
      <c r="E59" s="753"/>
      <c r="F59" s="753"/>
      <c r="G59" s="753"/>
      <c r="H59" s="753"/>
      <c r="I59" s="753"/>
      <c r="J59" s="753"/>
      <c r="K59" s="471"/>
      <c r="L59" s="524"/>
      <c r="M59" s="545"/>
      <c r="N59" s="524"/>
      <c r="O59" s="473"/>
      <c r="P59" s="473"/>
    </row>
    <row r="60" spans="1:16" s="547" customFormat="1" ht="20" customHeight="1" x14ac:dyDescent="0.3">
      <c r="A60" s="483"/>
      <c r="B60" s="476"/>
      <c r="C60" s="477" t="str">
        <f>IF(VLOOKUP("GEN-LEVEL",Languages!$A:$D,1,TRUE)="GEN-LEVEL",VLOOKUP("GEN-LEVEL",Languages!$A:$D,Kybermittari!$C$7,TRUE),NA())</f>
        <v>Taso</v>
      </c>
      <c r="D60" s="477"/>
      <c r="E60" s="478" t="str">
        <f>IF(VLOOKUP("GEN-PRACTICE",Languages!$A:$D,1,TRUE)="GEN-PRACTICE",VLOOKUP("GEN-PRACTICE",Languages!$A:$D,Kybermittari!$C$7,TRUE),NA())</f>
        <v>Käytäntö</v>
      </c>
      <c r="F60" s="479"/>
      <c r="G60" s="480"/>
      <c r="H60" s="481"/>
      <c r="I60" s="478" t="str">
        <f>IF(VLOOKUP("GEN-ANSWER",Languages!$A:$D,1,TRUE)="GEN-ANSWER",VLOOKUP("GEN-ANSWER",Languages!$A:$D,Kybermittari!$C$7,TRUE),NA())</f>
        <v>Vastaus</v>
      </c>
      <c r="J60" s="480" t="str">
        <f>IF(VLOOKUP("GEN-COMMENT",Languages!$A:$D,1,TRUE)="GEN-COMMENT",VLOOKUP("GEN-COMMENT",Languages!$A:$D,Kybermittari!$C$7,TRUE),NA())</f>
        <v>Kommentti ja viittaukset</v>
      </c>
      <c r="K60" s="482"/>
      <c r="L60" s="524"/>
      <c r="M60" s="545"/>
      <c r="N60" s="524"/>
      <c r="O60" s="546"/>
      <c r="P60" s="546"/>
    </row>
    <row r="61" spans="1:16" s="547" customFormat="1" ht="10" customHeight="1" x14ac:dyDescent="0.3">
      <c r="A61" s="483"/>
      <c r="B61" s="476"/>
      <c r="C61" s="487"/>
      <c r="D61" s="487"/>
      <c r="E61" s="488"/>
      <c r="F61" s="489"/>
      <c r="G61" s="490"/>
      <c r="H61" s="491"/>
      <c r="I61" s="488"/>
      <c r="J61" s="490"/>
      <c r="K61" s="482"/>
      <c r="L61" s="524"/>
      <c r="M61" s="545"/>
      <c r="N61" s="524"/>
      <c r="O61" s="546"/>
      <c r="P61" s="546"/>
    </row>
    <row r="62" spans="1:16" s="547" customFormat="1" ht="20" customHeight="1" x14ac:dyDescent="0.3">
      <c r="A62" s="483"/>
      <c r="B62" s="476"/>
      <c r="C62" s="557">
        <v>1</v>
      </c>
      <c r="D62" s="558"/>
      <c r="E62" s="559"/>
      <c r="F62" s="560"/>
      <c r="G62" s="561"/>
      <c r="H62" s="562"/>
      <c r="I62" s="559"/>
      <c r="J62" s="563"/>
      <c r="K62" s="482"/>
      <c r="L62" s="524"/>
      <c r="M62" s="545"/>
      <c r="N62" s="524"/>
      <c r="O62" s="546"/>
      <c r="P62" s="546"/>
    </row>
    <row r="63" spans="1:16" s="547" customFormat="1" ht="10" customHeight="1" x14ac:dyDescent="0.3">
      <c r="A63" s="483"/>
      <c r="B63" s="476"/>
      <c r="C63" s="487"/>
      <c r="D63" s="487"/>
      <c r="E63" s="488"/>
      <c r="F63" s="489"/>
      <c r="G63" s="490"/>
      <c r="H63" s="491"/>
      <c r="I63" s="488"/>
      <c r="J63" s="490"/>
      <c r="K63" s="482"/>
      <c r="L63" s="524"/>
      <c r="M63" s="545"/>
      <c r="N63" s="524"/>
      <c r="O63" s="546"/>
      <c r="P63" s="546"/>
    </row>
    <row r="64" spans="1:16" s="510" customFormat="1" ht="35" customHeight="1" x14ac:dyDescent="0.3">
      <c r="A64" s="524"/>
      <c r="B64" s="749"/>
      <c r="C64" s="765">
        <v>2</v>
      </c>
      <c r="D64" s="508" t="s">
        <v>143</v>
      </c>
      <c r="E64" s="750" t="str">
        <f>IF(VLOOKUP(CONCATENATE($C$2,"-",$D64),Languages!$A:$D,1,TRUE)=CONCATENATE($C$2,"-",$D64),VLOOKUP(CONCATENATE($C$2,"-",$D64),Languages!$A:$D,Kybermittari!$C$7,TRUE),NA())</f>
        <v>Henkilöstöhallinnan (WORKFORCE) osioon liittyen on määritetty dokumentoidut käytännöt, joita noudatetaan ja pidetään yllä.</v>
      </c>
      <c r="F64" s="750"/>
      <c r="G64" s="750"/>
      <c r="H64" s="493">
        <f>IFERROR(INT(LEFT($I64,1)),0)</f>
        <v>0</v>
      </c>
      <c r="I64" s="54"/>
      <c r="J64" s="527"/>
      <c r="K64" s="509"/>
      <c r="L64" s="524"/>
      <c r="M64" s="545"/>
      <c r="N64" s="524"/>
      <c r="O64" s="495"/>
      <c r="P64" s="495"/>
    </row>
    <row r="65" spans="1:16" s="510" customFormat="1" ht="35" customHeight="1" x14ac:dyDescent="0.3">
      <c r="A65" s="524"/>
      <c r="B65" s="749"/>
      <c r="C65" s="766"/>
      <c r="D65" s="508" t="s">
        <v>146</v>
      </c>
      <c r="E65" s="750" t="str">
        <f>IF(VLOOKUP(CONCATENATE($C$2,"-",$D65),Languages!$A:$D,1,TRUE)=CONCATENATE($C$2,"-",$D65),VLOOKUP(CONCATENATE($C$2,"-",$D65),Languages!$A:$D,Kybermittari!$C$7,TRUE),NA())</f>
        <v>Henkilöstöhallinnan (WORKFORCE) osion toimintaan on saatavilla riittävät resurssit (henkilöstö, rahoitus ja työkalut).</v>
      </c>
      <c r="F65" s="750"/>
      <c r="G65" s="750"/>
      <c r="H65" s="493">
        <f>IFERROR(INT(LEFT($I65,1)),0)</f>
        <v>0</v>
      </c>
      <c r="I65" s="54"/>
      <c r="J65" s="527"/>
      <c r="K65" s="509"/>
      <c r="L65" s="524"/>
      <c r="M65" s="545"/>
      <c r="N65" s="524"/>
      <c r="O65" s="495"/>
      <c r="P65" s="495"/>
    </row>
    <row r="66" spans="1:16" s="510" customFormat="1" ht="35" customHeight="1" x14ac:dyDescent="0.3">
      <c r="A66" s="524"/>
      <c r="B66" s="749"/>
      <c r="C66" s="766"/>
      <c r="D66" s="508" t="s">
        <v>149</v>
      </c>
      <c r="E66" s="750" t="str">
        <f>IF(VLOOKUP(CONCATENATE($C$2,"-",$D66),Languages!$A:$D,1,TRUE)=CONCATENATE($C$2,"-",$D66),VLOOKUP(CONCATENATE($C$2,"-",$D66),Languages!$A:$D,Kybermittari!$C$7,TRUE),NA())</f>
        <v>Henkilöstöhallinnan (WORKFORCE) osion toimintaa suorittavilla työntekijöillä on riittävät tiedot ja taidot tehtäviensä suorittamiseen.</v>
      </c>
      <c r="F66" s="750"/>
      <c r="G66" s="750"/>
      <c r="H66" s="493">
        <f>IFERROR(INT(LEFT($I66,1)),0)</f>
        <v>0</v>
      </c>
      <c r="I66" s="54"/>
      <c r="J66" s="527"/>
      <c r="K66" s="509"/>
      <c r="L66" s="524"/>
      <c r="M66" s="545"/>
      <c r="N66" s="524"/>
      <c r="O66" s="495"/>
      <c r="P66" s="495"/>
    </row>
    <row r="67" spans="1:16" s="510" customFormat="1" ht="35" customHeight="1" x14ac:dyDescent="0.3">
      <c r="A67" s="524"/>
      <c r="B67" s="749"/>
      <c r="C67" s="767"/>
      <c r="D67" s="508" t="s">
        <v>152</v>
      </c>
      <c r="E67" s="750" t="str">
        <f>IF(VLOOKUP(CONCATENATE($C$2,"-",$D67),Languages!$A:$D,1,TRUE)=CONCATENATE($C$2,"-",$D67),VLOOKUP(CONCATENATE($C$2,"-",$D67),Languages!$A:$D,Kybermittari!$C$7,TRUE),NA())</f>
        <v>Henkilöstöhallinnan (WORKFORCE) osion toiminnan suorittamiseen liittyvät vastuut ja valtuudet on osoitettu nimetyille työntekijöille.</v>
      </c>
      <c r="F67" s="750"/>
      <c r="G67" s="750"/>
      <c r="H67" s="493">
        <f>IFERROR(INT(LEFT($I67,1)),0)</f>
        <v>0</v>
      </c>
      <c r="I67" s="54"/>
      <c r="J67" s="527"/>
      <c r="K67" s="509"/>
      <c r="L67" s="524"/>
      <c r="M67" s="545"/>
      <c r="N67" s="524"/>
      <c r="O67" s="495"/>
      <c r="P67" s="495"/>
    </row>
    <row r="68" spans="1:16" s="510" customFormat="1" ht="10" customHeight="1" x14ac:dyDescent="0.3">
      <c r="A68" s="524"/>
      <c r="B68" s="511"/>
      <c r="C68" s="565"/>
      <c r="D68" s="513"/>
      <c r="E68" s="501"/>
      <c r="F68" s="501"/>
      <c r="G68" s="501"/>
      <c r="H68" s="499"/>
      <c r="I68" s="502"/>
      <c r="J68" s="514"/>
      <c r="K68" s="509"/>
      <c r="L68" s="524"/>
      <c r="M68" s="545"/>
      <c r="N68" s="524"/>
      <c r="O68" s="495"/>
      <c r="P68" s="495"/>
    </row>
    <row r="69" spans="1:16" s="510" customFormat="1" ht="59.5" customHeight="1" x14ac:dyDescent="0.25">
      <c r="A69" s="524"/>
      <c r="B69" s="749"/>
      <c r="C69" s="765">
        <v>3</v>
      </c>
      <c r="D69" s="508" t="s">
        <v>154</v>
      </c>
      <c r="E69" s="750" t="str">
        <f>IF(VLOOKUP(CONCATENATE($C$2,"-",$D69),Languages!$A:$D,1,TRUE)=CONCATENATE($C$2,"-",$D69),VLOOKUP(CONCATENATE($C$2,"-",$D69),Languages!$A:$D,Kybermittari!$C$7,TRUE),NA())</f>
        <v>Henkilöstöhallinnan (WORKFORCE) osion toiminta perustuu organisaation määrittämään ja ylläpitämään johtotason politiikkaan (tai vastaavaan ohjeistukseen), jossa asetetaan nimenomaisia vaatimuksia tämän osion toiminnalle.</v>
      </c>
      <c r="F69" s="750"/>
      <c r="G69" s="750"/>
      <c r="H69" s="493">
        <f>IFERROR(INT(LEFT($I69,1)),0)</f>
        <v>0</v>
      </c>
      <c r="I69" s="54"/>
      <c r="J69" s="527"/>
      <c r="K69" s="509"/>
      <c r="L69" s="524"/>
      <c r="M69" s="637"/>
      <c r="N69" s="524"/>
      <c r="O69" s="495"/>
      <c r="P69" s="495"/>
    </row>
    <row r="70" spans="1:16" s="510" customFormat="1" ht="35" customHeight="1" x14ac:dyDescent="0.25">
      <c r="A70" s="524"/>
      <c r="B70" s="749"/>
      <c r="C70" s="766"/>
      <c r="D70" s="508" t="s">
        <v>156</v>
      </c>
      <c r="E70" s="750" t="str">
        <f>IF(VLOOKUP(CONCATENATE($C$2,"-",$D70),Languages!$A:$D,1,TRUE)=CONCATENATE($C$2,"-",$D70),VLOOKUP(CONCATENATE($C$2,"-",$D70),Languages!$A:$D,Kybermittari!$C$7,TRUE),NA())</f>
        <v>Henkilöstöhallinnan (WORKFORCE) osion toiminnalle on määritetty suoriutumistavoitteet, joiden toteutumista seurataan [kts. PROGRAM-1b].</v>
      </c>
      <c r="F70" s="750"/>
      <c r="G70" s="750"/>
      <c r="H70" s="493">
        <f>IFERROR(INT(LEFT($I70,1)),0)</f>
        <v>0</v>
      </c>
      <c r="I70" s="54"/>
      <c r="J70" s="527"/>
      <c r="K70" s="509"/>
      <c r="L70" s="524"/>
      <c r="M70" s="637"/>
      <c r="N70" s="524"/>
      <c r="O70" s="495"/>
      <c r="P70" s="495"/>
    </row>
    <row r="71" spans="1:16" s="510" customFormat="1" ht="35" customHeight="1" x14ac:dyDescent="0.25">
      <c r="A71" s="524"/>
      <c r="B71" s="749"/>
      <c r="C71" s="767"/>
      <c r="D71" s="508" t="s">
        <v>159</v>
      </c>
      <c r="E71" s="750" t="str">
        <f>IF(VLOOKUP(CONCATENATE($C$2,"-",$D71),Languages!$A:$D,1,TRUE)=CONCATENATE($C$2,"-",$D71),VLOOKUP(CONCATENATE($C$2,"-",$D71),Languages!$A:$D,Kybermittari!$C$7,TRUE),NA())</f>
        <v>Henkilöstöhallinnan (WORKFORCE) osioon liittyvät käytännöt on standardoitu läpi koko organisaation ja niitä kehitetään aktiivisesti.</v>
      </c>
      <c r="F71" s="750"/>
      <c r="G71" s="750"/>
      <c r="H71" s="493">
        <f>IFERROR(INT(LEFT($I71,1)),0)</f>
        <v>0</v>
      </c>
      <c r="I71" s="54"/>
      <c r="J71" s="527"/>
      <c r="K71" s="509"/>
      <c r="L71" s="524"/>
      <c r="M71" s="637"/>
      <c r="N71" s="524"/>
      <c r="O71" s="495"/>
      <c r="P71" s="495"/>
    </row>
    <row r="72" spans="1:16" x14ac:dyDescent="0.25">
      <c r="A72" s="347"/>
      <c r="B72" s="619"/>
      <c r="C72" s="620"/>
      <c r="D72" s="621"/>
      <c r="E72" s="622"/>
      <c r="F72" s="622"/>
      <c r="G72" s="622"/>
      <c r="H72" s="623"/>
      <c r="I72" s="624"/>
      <c r="J72" s="625"/>
      <c r="K72" s="626"/>
      <c r="L72" s="347"/>
      <c r="M72" s="638"/>
      <c r="N72" s="347"/>
    </row>
    <row r="73" spans="1:16" x14ac:dyDescent="0.25">
      <c r="A73" s="347"/>
      <c r="B73" s="347"/>
      <c r="C73" s="347"/>
      <c r="D73" s="347"/>
      <c r="E73" s="347"/>
      <c r="F73" s="347"/>
      <c r="G73" s="347"/>
      <c r="H73" s="627"/>
      <c r="I73" s="347"/>
      <c r="J73" s="347"/>
      <c r="K73" s="347"/>
      <c r="L73" s="347"/>
      <c r="M73" s="638"/>
      <c r="N73" s="347"/>
    </row>
  </sheetData>
  <sheetProtection sheet="1" objects="1" scenarios="1"/>
  <mergeCells count="54">
    <mergeCell ref="C56:C57"/>
    <mergeCell ref="C5:J5"/>
    <mergeCell ref="E33:G33"/>
    <mergeCell ref="C15:C16"/>
    <mergeCell ref="C18:C19"/>
    <mergeCell ref="C21:C22"/>
    <mergeCell ref="C27:C28"/>
    <mergeCell ref="C30:C31"/>
    <mergeCell ref="C33:C34"/>
    <mergeCell ref="E54:G54"/>
    <mergeCell ref="E56:G56"/>
    <mergeCell ref="E57:G57"/>
    <mergeCell ref="C53:C54"/>
    <mergeCell ref="C42:C43"/>
    <mergeCell ref="E42:G42"/>
    <mergeCell ref="E46:G46"/>
    <mergeCell ref="B69:B71"/>
    <mergeCell ref="C69:C71"/>
    <mergeCell ref="E69:G69"/>
    <mergeCell ref="E70:G70"/>
    <mergeCell ref="E71:G71"/>
    <mergeCell ref="C59:J59"/>
    <mergeCell ref="B64:B67"/>
    <mergeCell ref="C64:C67"/>
    <mergeCell ref="E64:G64"/>
    <mergeCell ref="E65:G65"/>
    <mergeCell ref="E66:G66"/>
    <mergeCell ref="E67:G67"/>
    <mergeCell ref="C48:J48"/>
    <mergeCell ref="E51:G51"/>
    <mergeCell ref="E53:G53"/>
    <mergeCell ref="E43:G43"/>
    <mergeCell ref="E45:G45"/>
    <mergeCell ref="C45:C46"/>
    <mergeCell ref="B27:B28"/>
    <mergeCell ref="E27:G27"/>
    <mergeCell ref="E28:G28"/>
    <mergeCell ref="E34:G34"/>
    <mergeCell ref="C36:J36"/>
    <mergeCell ref="C39:C40"/>
    <mergeCell ref="E39:G39"/>
    <mergeCell ref="E40:G40"/>
    <mergeCell ref="E30:G30"/>
    <mergeCell ref="E31:G31"/>
    <mergeCell ref="E22:G22"/>
    <mergeCell ref="C24:J24"/>
    <mergeCell ref="C12:J12"/>
    <mergeCell ref="B15:B16"/>
    <mergeCell ref="E15:G15"/>
    <mergeCell ref="E16:G16"/>
    <mergeCell ref="B18:B22"/>
    <mergeCell ref="E18:G18"/>
    <mergeCell ref="E19:G19"/>
    <mergeCell ref="E21:G21"/>
  </mergeCells>
  <conditionalFormatting sqref="H1:H1048576">
    <cfRule type="containsText" dxfId="53"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8BCB4737-1DBF-4151-AE0E-F320A5F799C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I18:I19 I69:I71 I64:I67 I51 I53:I54 I56:I57 I39:I40 I42:I43 I45:I46 I30:I31 I33:I34 I27:I28 I21:I22 I15:I16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76"/>
  <sheetViews>
    <sheetView showGridLines="0" zoomScaleNormal="100" workbookViewId="0">
      <selection activeCell="I15" sqref="I15"/>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83</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Kyberturvallisuusarkkitehtuuri</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52.5" customHeight="1" x14ac:dyDescent="0.25">
      <c r="A5" s="344"/>
      <c r="B5" s="532"/>
      <c r="C5" s="758" t="str">
        <f>IF(VLOOKUP(CONCATENATE(C2,"-0"),Languages!$A:$D,1,TRUE)=CONCATENATE(C2,"-0"),VLOOKUP(CONCATENATE(C2,"-0"),Languages!$A:$D,Kybermittari!$C$7,TRUE),NA())</f>
        <v>Kyberturvallisuusarkkitehtuurin osiossa arvioidaan organisaation kykyä hallita ja ylläpitää kyberturvallisuustoimintaansa. Organisaation tulee luoda ja ylläpitää rakenteita, joilla se hallinnoi ja ohjaa organisaation kyberturvallisuuskontrolleja, -prosesseja ja muiden kyberturvallisuuden osa-alueiden toimintaa suhteessa sekä suojattaviin kohteisiin kohdistuviin riskeihin, että organisaation asettamiin tavoitteisiin.</v>
      </c>
      <c r="D5" s="758"/>
      <c r="E5" s="758"/>
      <c r="F5" s="758"/>
      <c r="G5" s="758"/>
      <c r="H5" s="758"/>
      <c r="I5" s="758"/>
      <c r="J5" s="758"/>
      <c r="K5" s="356"/>
      <c r="L5" s="344"/>
      <c r="M5" s="533"/>
      <c r="N5" s="344"/>
    </row>
    <row r="6" spans="1:16" ht="14.5" x14ac:dyDescent="0.25">
      <c r="A6" s="344"/>
      <c r="B6" s="532"/>
      <c r="C6" s="456">
        <v>1</v>
      </c>
      <c r="D6" s="457" t="s">
        <v>2</v>
      </c>
      <c r="E6" s="458" t="str">
        <f>IF(VLOOKUP(CONCATENATE($C$2,"-",C6),Languages!$A:$D,1,TRUE)=CONCATENATE($C$2,"-",C6),VLOOKUP(CONCATENATE($C$2,"-",C6),Languages!$A:$D,Kybermittari!$C$7,TRUE),NA())</f>
        <v>Kyberturvallisuusarkkitehtuuris ja -kehitysohjelma</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Verkkojen segmentointi osana kyberarkkitehtuuria</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Sovellusturvallisuus osana kyberarkkitehtuuria</v>
      </c>
      <c r="F8" s="607"/>
      <c r="G8" s="386"/>
      <c r="H8" s="610"/>
      <c r="I8" s="459" t="str">
        <f ca="1">VLOOKUP(VLOOKUP(CONCATENATE($C$2,"-",$C8),Data!$K:$O,5,FALSE),Parameters!$C$7:$F$10,Kybermittari!$C$7,FALSE)</f>
        <v>Kypsyystaso 1</v>
      </c>
      <c r="J8" s="611"/>
      <c r="K8" s="356"/>
      <c r="L8" s="344"/>
      <c r="M8" s="533"/>
      <c r="N8" s="344"/>
    </row>
    <row r="9" spans="1:16" ht="14.5" x14ac:dyDescent="0.25">
      <c r="A9" s="344"/>
      <c r="B9" s="532"/>
      <c r="C9" s="456">
        <v>4</v>
      </c>
      <c r="D9" s="457" t="s">
        <v>2</v>
      </c>
      <c r="E9" s="458" t="str">
        <f>IF(VLOOKUP(CONCATENATE($C$2,"-",C9),Languages!$A:$D,1,TRUE)=CONCATENATE($C$2,"-",C9),VLOOKUP(CONCATENATE($C$2,"-",C9),Languages!$A:$D,Kybermittari!$C$7,TRUE),NA())</f>
        <v>Tietojensuojelu osana kyberarkkitehtuuria</v>
      </c>
      <c r="F9" s="607"/>
      <c r="G9" s="386"/>
      <c r="H9" s="633"/>
      <c r="I9" s="459" t="str">
        <f ca="1">VLOOKUP(VLOOKUP(CONCATENATE($C$2,"-",$C9),Data!$K:$O,5,FALSE),Parameters!$C$7:$F$10,Kybermittari!$C$7,FALSE)</f>
        <v>Kypsyystaso 0</v>
      </c>
      <c r="J9" s="611"/>
      <c r="K9" s="356"/>
      <c r="L9" s="344"/>
      <c r="M9" s="533"/>
      <c r="N9" s="344"/>
    </row>
    <row r="10" spans="1:16" ht="14.5" x14ac:dyDescent="0.25">
      <c r="A10" s="344"/>
      <c r="B10" s="532"/>
      <c r="C10" s="456">
        <v>5</v>
      </c>
      <c r="D10" s="457" t="s">
        <v>2</v>
      </c>
      <c r="E10" s="458" t="str">
        <f>IF(VLOOKUP(CONCATENATE($C$2,"-",C10),Languages!$A:$D,1,TRUE)=CONCATENATE($C$2,"-",C10),VLOOKUP(CONCATENATE($C$2,"-",C10),Languages!$A:$D,Kybermittari!$C$7,TRUE),NA())</f>
        <v>Yleisiä hallintatoimia</v>
      </c>
      <c r="F10" s="607"/>
      <c r="G10" s="386"/>
      <c r="H10" s="633"/>
      <c r="I10" s="459" t="str">
        <f ca="1">VLOOKUP(VLOOKUP(CONCATENATE($C$2,"-",$C10),Data!$K:$O,5,FALSE),Parameters!$C$7:$F$10,Kybermittari!$C$7,FALSE)</f>
        <v>Kypsyystaso 1</v>
      </c>
      <c r="J10" s="611"/>
      <c r="K10" s="356"/>
      <c r="L10" s="467"/>
      <c r="M10" s="533"/>
      <c r="N10" s="332"/>
    </row>
    <row r="11" spans="1:16" s="343" customFormat="1" ht="30" customHeight="1" x14ac:dyDescent="0.25">
      <c r="A11" s="332"/>
      <c r="B11" s="461"/>
      <c r="C11" s="336">
        <v>1</v>
      </c>
      <c r="D11" s="336" t="str">
        <f>IF(VLOOKUP(CONCATENATE($C$2,"-",C11),Languages!$A:$D,1,TRUE)=CONCATENATE($C$2,"-",C11),VLOOKUP(CONCATENATE($C$2,"-",C11),Languages!$A:$D,Kybermittari!$C$7,TRUE),NA())</f>
        <v>Kyberturvallisuusarkkitehtuuris ja -kehitysohjelma</v>
      </c>
      <c r="E11" s="336"/>
      <c r="F11" s="463"/>
      <c r="G11" s="463"/>
      <c r="H11" s="464"/>
      <c r="I11" s="464"/>
      <c r="J11" s="465"/>
      <c r="K11" s="466"/>
      <c r="L11" s="344"/>
      <c r="M11" s="533"/>
      <c r="N11" s="344"/>
      <c r="O11" s="341"/>
      <c r="P11" s="341"/>
    </row>
    <row r="12" spans="1:16" s="475" customFormat="1" ht="97" customHeight="1" x14ac:dyDescent="0.3">
      <c r="A12" s="469"/>
      <c r="B12" s="470"/>
      <c r="C12" s="753" t="str">
        <f>IF(VLOOKUP(CONCATENATE($C$2,"-",$C11,"-0"),Languages!$A:$D,1,TRUE)=CONCATENATE($C$2,"-",$C11,"-0"),VLOOKUP(CONCATENATE($C$2,"-",$C11,"-0"),Languages!$A:$D,Kybermittari!$C$7,TRUE),NA())</f>
        <v>Kyberarkkitehtuuri luo edellytykset suunnitella ja kehittää organisaation kyberturvallisuutta kokonaisuutena pistemäisten ratkaisuiden, kuten yksittäisten identiteetin- tai pääsynhallintaratkaisujen, sijasta. Kyberarkkitehtuurin avulla voidaan lähestyä kriittisten järjestelmien ja tiedon suojaamista tunnettujen arkkitehtuurimenetelmien kautta (esim. tunnistaminen-suojautuminen-reagointi-palautuminen). Tällaisiin menetelmiin kuuluvat mm. verkkojen segmentointi, ylläpitoratkaisut, salausmenetelmät ja jäljityslokit ja niitä voidaan käyttää yhdessä saatavuuteen liittyvien menetelmien kuten monitoroinnin, palautusmenetelmien tai varmennuksen kanssa. Kun kyberturvallisuusarkkitehtuuri suunnitellaan toimimaan yhdessä organisaation yritysarkkitehtuuristrategian kanssa, toimii se syötteenä mm. riskianalyyseille ja suojattavien kohteiden konfiguroinnille.</v>
      </c>
      <c r="D12" s="753"/>
      <c r="E12" s="753"/>
      <c r="F12" s="753"/>
      <c r="G12" s="753"/>
      <c r="H12" s="753"/>
      <c r="I12" s="753"/>
      <c r="J12" s="753"/>
      <c r="K12" s="471"/>
      <c r="L12" s="483"/>
      <c r="M12" s="545"/>
      <c r="N12" s="483"/>
      <c r="O12" s="473"/>
      <c r="P12" s="473"/>
    </row>
    <row r="13" spans="1:16" s="547" customFormat="1" ht="20" customHeight="1" x14ac:dyDescent="0.3">
      <c r="A13" s="483"/>
      <c r="B13" s="476"/>
      <c r="C13" s="477" t="str">
        <f>IF(VLOOKUP("GEN-LEVEL",Languages!$A:$D,1,TRUE)="GEN-LEVEL",VLOOKUP("GEN-LEVEL",Languages!$A:$D,Kybermittari!$C$7,TRUE),NA())</f>
        <v>Taso</v>
      </c>
      <c r="D13" s="477"/>
      <c r="E13" s="478" t="str">
        <f>IF(VLOOKUP("GEN-PRACTICE",Languages!$A:$D,1,TRUE)="GEN-PRACTICE",VLOOKUP("GEN-PRACTICE",Languages!$A:$D,Kybermittari!$C$7,TRUE),NA())</f>
        <v>Käytäntö</v>
      </c>
      <c r="F13" s="479"/>
      <c r="G13" s="480"/>
      <c r="H13" s="481"/>
      <c r="I13" s="478" t="str">
        <f>IF(VLOOKUP("GEN-ANSWER",Languages!$A:$D,1,TRUE)="GEN-ANSWER",VLOOKUP("GEN-ANSWER",Languages!$A:$D,Kybermittari!$C$7,TRUE),NA())</f>
        <v>Vastaus</v>
      </c>
      <c r="J13" s="480" t="str">
        <f>IF(VLOOKUP("GEN-COMMENT",Languages!$A:$D,1,TRUE)="GEN-COMMENT",VLOOKUP("GEN-COMMENT",Languages!$A:$D,Kybermittari!$C$7,TRUE),NA())</f>
        <v>Kommentti ja viittaukset</v>
      </c>
      <c r="K13" s="482"/>
      <c r="L13" s="483"/>
      <c r="M13" s="545"/>
      <c r="N13" s="483"/>
      <c r="O13" s="546"/>
      <c r="P13" s="546"/>
    </row>
    <row r="14" spans="1:16" s="547" customFormat="1" ht="10" customHeight="1" x14ac:dyDescent="0.3">
      <c r="A14" s="483"/>
      <c r="B14" s="476"/>
      <c r="C14" s="487"/>
      <c r="D14" s="487"/>
      <c r="E14" s="488"/>
      <c r="F14" s="489"/>
      <c r="G14" s="490"/>
      <c r="H14" s="491"/>
      <c r="I14" s="488"/>
      <c r="J14" s="490"/>
      <c r="K14" s="482"/>
      <c r="L14" s="483"/>
      <c r="M14" s="545"/>
      <c r="N14" s="483"/>
      <c r="O14" s="546"/>
      <c r="P14" s="546"/>
    </row>
    <row r="15" spans="1:16" s="495" customFormat="1" ht="48" customHeight="1" x14ac:dyDescent="0.3">
      <c r="A15" s="469"/>
      <c r="B15" s="757"/>
      <c r="C15" s="635">
        <v>1</v>
      </c>
      <c r="D15" s="492" t="s">
        <v>7</v>
      </c>
      <c r="E15" s="750" t="str">
        <f>IF(VLOOKUP(CONCATENATE($C$2,"-",$D15),Languages!$A:$D,1,TRUE)=CONCATENATE($C$2,"-",$D15),VLOOKUP(CONCATENATE($C$2,"-",$D15),Languages!$A:$D,Kybermittari!$C$7,TRUE),NA())</f>
        <v>Organisaatiolla on strategia kyberarkkitehtuurille (joka sisältää kyberarkkitehtuurin tavoitteet, prioriteetit, vastuut, ja seurannan) - vaikka sitä ei välttämättä kehitetä systemaattisesti.</v>
      </c>
      <c r="F15" s="750"/>
      <c r="G15" s="750"/>
      <c r="H15" s="493">
        <f t="shared" ref="H15" si="0">IFERROR(INT(LEFT($I15,1)),0)</f>
        <v>0</v>
      </c>
      <c r="I15" s="54"/>
      <c r="J15" s="526"/>
      <c r="K15" s="494"/>
      <c r="L15" s="469"/>
      <c r="M15" s="545"/>
      <c r="N15" s="469"/>
    </row>
    <row r="16" spans="1:16" s="495" customFormat="1" ht="10" customHeight="1" x14ac:dyDescent="0.3">
      <c r="A16" s="469"/>
      <c r="B16" s="757"/>
      <c r="C16" s="498"/>
      <c r="D16" s="499"/>
      <c r="E16" s="501"/>
      <c r="F16" s="501"/>
      <c r="G16" s="501"/>
      <c r="H16" s="499"/>
      <c r="I16" s="502"/>
      <c r="J16" s="502"/>
      <c r="K16" s="494"/>
      <c r="L16" s="469"/>
      <c r="M16" s="545"/>
      <c r="N16" s="469"/>
    </row>
    <row r="17" spans="1:16" s="495" customFormat="1" ht="60" customHeight="1" x14ac:dyDescent="0.3">
      <c r="A17" s="469"/>
      <c r="B17" s="757"/>
      <c r="C17" s="759">
        <v>2</v>
      </c>
      <c r="D17" s="492" t="s">
        <v>9</v>
      </c>
      <c r="E17" s="750" t="str">
        <f>IF(VLOOKUP(CONCATENATE($C$2,"-",$D17),Languages!$A:$D,1,TRUE)=CONCATENATE($C$2,"-",$D17),VLOOKUP(CONCATENATE($C$2,"-",$D17),Languages!$A:$D,Kybermittari!$C$7,TRUE),NA())</f>
        <v>Kyberarkkitehtuurille on määritetty strategia, jota pidetään yllä. Kyberarkkitehtuuristrategia tukee organisaation laajempaa kyberstrategiaa [kts. PROGRAM-1b] ja yritysarkkitehtuuria sekä noudattaa niiden periaatteita ja vaatimuksia.</v>
      </c>
      <c r="F17" s="750"/>
      <c r="G17" s="750"/>
      <c r="H17" s="493">
        <f>IFERROR(INT(LEFT($I17,1)),0)</f>
        <v>0</v>
      </c>
      <c r="I17" s="54"/>
      <c r="J17" s="526"/>
      <c r="K17" s="494"/>
      <c r="L17" s="469"/>
      <c r="M17" s="545"/>
      <c r="N17" s="469"/>
    </row>
    <row r="18" spans="1:16" s="495" customFormat="1" ht="44" customHeight="1" x14ac:dyDescent="0.3">
      <c r="A18" s="469"/>
      <c r="B18" s="757"/>
      <c r="C18" s="760"/>
      <c r="D18" s="492" t="s">
        <v>10</v>
      </c>
      <c r="E18" s="750" t="str">
        <f>IF(VLOOKUP(CONCATENATE($C$2,"-",$D18),Languages!$A:$D,1,TRUE)=CONCATENATE($C$2,"-",$D18),VLOOKUP(CONCATENATE($C$2,"-",$D18),Languages!$A:$D,Kybermittari!$C$7,TRUE),NA())</f>
        <v>Kyberarkkitehtuuri on dokumentoitu ja sitä pidetään yllä. Arkkitehtuuri kattaa organisaation IT- ja OT-järjestelmät ja -verkot ja noudattelee järjestelmien ja suojattavien kohteiden kategorisointia ja priorisointia.</v>
      </c>
      <c r="F18" s="750"/>
      <c r="G18" s="750"/>
      <c r="H18" s="493">
        <f>IFERROR(INT(LEFT($I18,1)),0)</f>
        <v>0</v>
      </c>
      <c r="I18" s="54"/>
      <c r="J18" s="526"/>
      <c r="K18" s="494"/>
      <c r="L18" s="549"/>
      <c r="M18" s="545"/>
      <c r="N18" s="549"/>
    </row>
    <row r="19" spans="1:16" s="495" customFormat="1" ht="60.5" customHeight="1" x14ac:dyDescent="0.3">
      <c r="A19" s="469"/>
      <c r="B19" s="757"/>
      <c r="C19" s="760"/>
      <c r="D19" s="492" t="s">
        <v>11</v>
      </c>
      <c r="E19" s="756" t="str">
        <f>IF(VLOOKUP(CONCATENATE($C$2,"-",$D19),Languages!$A:$D,1,TRUE)=CONCATENATE($C$2,"-",$D19),VLOOKUP(CONCATENATE($C$2,"-",$D19),Languages!$A:$D,Kybermittari!$C$7,TRUE),NA())</f>
        <v>Kyberarkkitehtuurille on määritetty hallintamalli ("governance"), jota pidetään yllä (esim. arkkitehtuurin arviointitoimikunta). Hallintamalli kattaa vaatimukset säännöllisistä arkkitehtuurikatselmoinneista sekä päätöksenteon poikkeusprosessille ("exception process").</v>
      </c>
      <c r="F19" s="756"/>
      <c r="G19" s="756"/>
      <c r="H19" s="493">
        <f>IFERROR(INT(LEFT($I19,1)),0)</f>
        <v>0</v>
      </c>
      <c r="I19" s="54"/>
      <c r="J19" s="526"/>
      <c r="K19" s="494"/>
      <c r="L19" s="469"/>
      <c r="M19" s="545"/>
      <c r="N19" s="469"/>
    </row>
    <row r="20" spans="1:16" s="495" customFormat="1" ht="35" customHeight="1" x14ac:dyDescent="0.3">
      <c r="A20" s="469"/>
      <c r="B20" s="757"/>
      <c r="C20" s="760"/>
      <c r="D20" s="503" t="s">
        <v>12</v>
      </c>
      <c r="E20" s="756" t="str">
        <f>IF(VLOOKUP(CONCATENATE($C$2,"-",$D20),Languages!$A:$D,1,TRUE)=CONCATENATE($C$2,"-",$D20),VLOOKUP(CONCATENATE($C$2,"-",$D20),Languages!$A:$D,Kybermittari!$C$7,TRUE),NA())</f>
        <v>Kyberarkkitehtuuri kattaa luottamuksellisuuteen, eheyteen ja saatavuuteen liittyvät vaatimukset toiminnan osa-alueen suojattaville kohteille.</v>
      </c>
      <c r="F20" s="756"/>
      <c r="G20" s="756"/>
      <c r="H20" s="493">
        <f>IFERROR(INT(LEFT($I20,1)),0)</f>
        <v>0</v>
      </c>
      <c r="I20" s="54"/>
      <c r="J20" s="527"/>
      <c r="K20" s="504"/>
      <c r="L20" s="469"/>
      <c r="M20" s="545"/>
      <c r="N20" s="469"/>
    </row>
    <row r="21" spans="1:16" s="495" customFormat="1" ht="60" customHeight="1" x14ac:dyDescent="0.3">
      <c r="A21" s="469"/>
      <c r="B21" s="757"/>
      <c r="C21" s="761"/>
      <c r="D21" s="503" t="s">
        <v>13</v>
      </c>
      <c r="E21" s="756" t="str">
        <f>IF(VLOOKUP(CONCATENATE($C$2,"-",$D21),Languages!$A:$D,1,TRUE)=CONCATENATE($C$2,"-",$D21),VLOOKUP(CONCATENATE($C$2,"-",$D21),Languages!$A:$D,Kybermittari!$C$7,TRUE),NA())</f>
        <v>Kyberarkkitehtuuri noudattaa kyberturvallisuuden periaatteita ja mahdollistaa niiden toteuttamisen (kuten minimi-toiminnallisuus ("least functionality"), oletus kielto ("deafult deny"), pienimmät käyttöoikeudet ("least privilege")).</v>
      </c>
      <c r="F21" s="756"/>
      <c r="G21" s="756"/>
      <c r="H21" s="493">
        <f>IFERROR(INT(LEFT($I21,1)),0)</f>
        <v>0</v>
      </c>
      <c r="I21" s="54"/>
      <c r="J21" s="527"/>
      <c r="K21" s="504"/>
      <c r="L21" s="524"/>
      <c r="M21" s="545"/>
      <c r="N21" s="524"/>
    </row>
    <row r="22" spans="1:16" s="495" customFormat="1" ht="10" customHeight="1" x14ac:dyDescent="0.3">
      <c r="A22" s="469"/>
      <c r="B22" s="613"/>
      <c r="C22" s="498"/>
      <c r="D22" s="614"/>
      <c r="E22" s="615"/>
      <c r="F22" s="615"/>
      <c r="G22" s="615"/>
      <c r="H22" s="499"/>
      <c r="I22" s="502"/>
      <c r="J22" s="514"/>
      <c r="K22" s="504"/>
      <c r="L22" s="524"/>
      <c r="M22" s="545"/>
      <c r="N22" s="524"/>
    </row>
    <row r="23" spans="1:16" s="495" customFormat="1" ht="47" customHeight="1" x14ac:dyDescent="0.3">
      <c r="A23" s="469"/>
      <c r="B23" s="613"/>
      <c r="C23" s="759">
        <v>3</v>
      </c>
      <c r="D23" s="503" t="s">
        <v>14</v>
      </c>
      <c r="E23" s="756" t="str">
        <f>IF(VLOOKUP(CONCATENATE($C$2,"-",$D23),Languages!$A:$D,1,TRUE)=CONCATENATE($C$2,"-",$D23),VLOOKUP(CONCATENATE($C$2,"-",$D23),Languages!$A:$D,Kybermittari!$C$7,TRUE),NA())</f>
        <v>Kyberarkkitehtuuristrategia ja kyberturvallisuuden kehityssuunnitelma noudattelevat organisaation laajempaa yritysarkkitehtuuristrategiaa ja -kehityssuunnitelmia.</v>
      </c>
      <c r="F23" s="756"/>
      <c r="G23" s="756"/>
      <c r="H23" s="493">
        <f>IFERROR(INT(LEFT($I23,1)),0)</f>
        <v>0</v>
      </c>
      <c r="I23" s="54"/>
      <c r="J23" s="527"/>
      <c r="K23" s="504"/>
      <c r="L23" s="524"/>
      <c r="M23" s="545"/>
      <c r="N23" s="524"/>
    </row>
    <row r="24" spans="1:16" s="495" customFormat="1" ht="60.5" customHeight="1" x14ac:dyDescent="0.3">
      <c r="A24" s="469"/>
      <c r="B24" s="613"/>
      <c r="C24" s="760"/>
      <c r="D24" s="503" t="s">
        <v>15</v>
      </c>
      <c r="E24" s="756" t="str">
        <f>IF(VLOOKUP(CONCATENATE($C$2,"-",$D24),Languages!$A:$D,1,TRUE)=CONCATENATE($C$2,"-",$D24),VLOOKUP(CONCATENATE($C$2,"-",$D24),Languages!$A:$D,Kybermittari!$C$7,TRUE),NA())</f>
        <v>Organisaation järjestelmien ja verkkojen vaatimustenmukaisuutta kyberarkkitehtuuriin nähden arvioidaan organisaation määrittelemien kriteerien perusteella (esim. toteuttamisesta kulunut aika tai järjestelmissä, verkoissa tai suojattavissa kohteissa tapahtuvat muutokset).</v>
      </c>
      <c r="F24" s="756"/>
      <c r="G24" s="756"/>
      <c r="H24" s="493">
        <f>IFERROR(INT(LEFT($I24,1)),0)</f>
        <v>0</v>
      </c>
      <c r="I24" s="54"/>
      <c r="J24" s="527"/>
      <c r="K24" s="504"/>
      <c r="L24" s="524"/>
      <c r="M24" s="545"/>
      <c r="N24" s="524"/>
    </row>
    <row r="25" spans="1:16" s="495" customFormat="1" ht="47" customHeight="1" x14ac:dyDescent="0.3">
      <c r="A25" s="469"/>
      <c r="B25" s="616"/>
      <c r="C25" s="761"/>
      <c r="D25" s="503" t="s">
        <v>16</v>
      </c>
      <c r="E25" s="756" t="str">
        <f>IF(VLOOKUP(CONCATENATE($C$2,"-",$D25),Languages!$A:$D,1,TRUE)=CONCATENATE($C$2,"-",$D25),VLOOKUP(CONCATENATE($C$2,"-",$D25),Languages!$A:$D,Kybermittari!$C$7,TRUE),NA())</f>
        <v>Kyberarkkitehtuurin määrittelyssä hyödynnetään järjestelmällisesti organisaation tunnistamia riskejä [kts. RISK-2e] ja uhkia [kts. THREAT-1d] helpottamaan tarvittavien kontrollien toteuttamista.</v>
      </c>
      <c r="F25" s="756"/>
      <c r="G25" s="756"/>
      <c r="H25" s="493">
        <f>IFERROR(INT(LEFT($I25,1)),0)</f>
        <v>0</v>
      </c>
      <c r="I25" s="54"/>
      <c r="J25" s="527"/>
      <c r="K25" s="504"/>
      <c r="L25" s="524"/>
      <c r="M25" s="545"/>
      <c r="N25" s="524"/>
    </row>
    <row r="26" spans="1:16" s="343" customFormat="1" ht="30" customHeight="1" x14ac:dyDescent="0.25">
      <c r="A26" s="332"/>
      <c r="B26" s="461"/>
      <c r="C26" s="336">
        <v>2</v>
      </c>
      <c r="D26" s="336" t="str">
        <f>IF(VLOOKUP(CONCATENATE($C$2,"-",C26),Languages!$A:$D,1,TRUE)=CONCATENATE($C$2,"-",C26),VLOOKUP(CONCATENATE($C$2,"-",C26),Languages!$A:$D,Kybermittari!$C$7,TRUE),NA())</f>
        <v>Verkkojen segmentointi osana kyberarkkitehtuuria</v>
      </c>
      <c r="E26" s="336"/>
      <c r="F26" s="506"/>
      <c r="G26" s="506"/>
      <c r="H26" s="506"/>
      <c r="I26" s="506" t="s">
        <v>19</v>
      </c>
      <c r="J26" s="507"/>
      <c r="K26" s="339"/>
      <c r="L26" s="347"/>
      <c r="M26" s="533"/>
      <c r="N26" s="347"/>
      <c r="O26" s="341"/>
      <c r="P26" s="341"/>
    </row>
    <row r="27" spans="1:16" s="475" customFormat="1" ht="36.5" customHeight="1" x14ac:dyDescent="0.3">
      <c r="A27" s="469"/>
      <c r="B27" s="470"/>
      <c r="C27" s="753" t="str">
        <f>IF(VLOOKUP(CONCATENATE($C$2,"-",$C26,"-0"),Languages!$A:$D,1,TRUE)=CONCATENATE($C$2,"-",$C26,"-0"),VLOOKUP(CONCATENATE($C$2,"-",$C26,"-0"),Languages!$A:$D,Kybermittari!$C$7,TRUE),NA())</f>
        <v>Verkkojen segmentointi voidaan toteuttaa fyysisellä ja/tai loogisella tasolla ja sen tarkoitus on pienentää hyökkäyspinta-alaa. Optimitilanteessa jokaiselle laitteelle on perusteltu syy sen sijoittamiseen tiettyyn verkkosegmenttiin.</v>
      </c>
      <c r="D27" s="753"/>
      <c r="E27" s="753"/>
      <c r="F27" s="753"/>
      <c r="G27" s="753"/>
      <c r="H27" s="753"/>
      <c r="I27" s="753"/>
      <c r="J27" s="753"/>
      <c r="K27" s="471"/>
      <c r="L27" s="524"/>
      <c r="M27" s="545"/>
      <c r="N27" s="524"/>
      <c r="O27" s="473"/>
      <c r="P27" s="473"/>
    </row>
    <row r="28" spans="1:16" s="547" customFormat="1" ht="20" customHeight="1" x14ac:dyDescent="0.3">
      <c r="A28" s="483"/>
      <c r="B28" s="476"/>
      <c r="C28" s="477" t="str">
        <f>IF(VLOOKUP("GEN-LEVEL",Languages!$A:$D,1,TRUE)="GEN-LEVEL",VLOOKUP("GEN-LEVEL",Languages!$A:$D,Kybermittari!$C$7,TRUE),NA())</f>
        <v>Taso</v>
      </c>
      <c r="D28" s="477"/>
      <c r="E28" s="478" t="str">
        <f>IF(VLOOKUP("GEN-PRACTICE",Languages!$A:$D,1,TRUE)="GEN-PRACTICE",VLOOKUP("GEN-PRACTICE",Languages!$A:$D,Kybermittari!$C$7,TRUE),NA())</f>
        <v>Käytäntö</v>
      </c>
      <c r="F28" s="479"/>
      <c r="G28" s="480"/>
      <c r="H28" s="481"/>
      <c r="I28" s="478" t="str">
        <f>IF(VLOOKUP("GEN-ANSWER",Languages!$A:$D,1,TRUE)="GEN-ANSWER",VLOOKUP("GEN-ANSWER",Languages!$A:$D,Kybermittari!$C$7,TRUE),NA())</f>
        <v>Vastaus</v>
      </c>
      <c r="J28" s="480" t="str">
        <f>IF(VLOOKUP("GEN-COMMENT",Languages!$A:$D,1,TRUE)="GEN-COMMENT",VLOOKUP("GEN-COMMENT",Languages!$A:$D,Kybermittari!$C$7,TRUE),NA())</f>
        <v>Kommentti ja viittaukset</v>
      </c>
      <c r="K28" s="482"/>
      <c r="L28" s="524"/>
      <c r="M28" s="545"/>
      <c r="N28" s="524"/>
      <c r="O28" s="546"/>
      <c r="P28" s="546"/>
    </row>
    <row r="29" spans="1:16" s="547" customFormat="1" ht="10" customHeight="1" x14ac:dyDescent="0.3">
      <c r="A29" s="483"/>
      <c r="B29" s="476"/>
      <c r="C29" s="487"/>
      <c r="D29" s="487"/>
      <c r="E29" s="488"/>
      <c r="F29" s="489"/>
      <c r="G29" s="490"/>
      <c r="H29" s="491"/>
      <c r="I29" s="488"/>
      <c r="J29" s="490"/>
      <c r="K29" s="482"/>
      <c r="L29" s="524"/>
      <c r="M29" s="545"/>
      <c r="N29" s="524"/>
      <c r="O29" s="546"/>
      <c r="P29" s="546"/>
    </row>
    <row r="30" spans="1:16" s="510" customFormat="1" ht="75" customHeight="1" x14ac:dyDescent="0.3">
      <c r="A30" s="524"/>
      <c r="B30" s="749"/>
      <c r="C30" s="557">
        <v>1</v>
      </c>
      <c r="D30" s="508" t="s">
        <v>20</v>
      </c>
      <c r="E30" s="750" t="str">
        <f>IF(VLOOKUP(CONCATENATE($C$2,"-",$D30),Languages!$A:$D,1,TRUE)=CONCATENATE($C$2,"-",$D30),VLOOKUP(CONCATENATE($C$2,"-",$D30),Languages!$A:$D,Kybermittari!$C$7,TRUE),NA())</f>
        <v>Organisaation IT-järjestelmät on eriytetty (mahdollisista) OT-järjestelmistä segmentoinnin avulla, joko fyysisesti (esim. ilmarako) tai loogisesti (esim. verkkokonfiguraatiot) - vaikka ei välttämättä systemaattisesti ja kaiken kattavasti. [Mikäli organisaatiolla ei ole OT-järjestelmiä (tai niihin verrattavissa olevia järjestelmiä), asetetaan tämä käytäntö täysin toteutetuksi.]</v>
      </c>
      <c r="F30" s="750"/>
      <c r="G30" s="750"/>
      <c r="H30" s="493">
        <f>IFERROR(INT(LEFT($I30,1)),0)</f>
        <v>0</v>
      </c>
      <c r="I30" s="54"/>
      <c r="J30" s="526"/>
      <c r="K30" s="509"/>
      <c r="L30" s="618"/>
      <c r="M30" s="545"/>
      <c r="N30" s="618"/>
      <c r="O30" s="495"/>
      <c r="P30" s="495"/>
    </row>
    <row r="31" spans="1:16" s="510" customFormat="1" ht="10" customHeight="1" x14ac:dyDescent="0.3">
      <c r="A31" s="524"/>
      <c r="B31" s="749"/>
      <c r="C31" s="565"/>
      <c r="D31" s="513"/>
      <c r="E31" s="501"/>
      <c r="F31" s="501"/>
      <c r="G31" s="501"/>
      <c r="H31" s="499"/>
      <c r="I31" s="502"/>
      <c r="J31" s="502"/>
      <c r="K31" s="509"/>
      <c r="L31" s="618"/>
      <c r="M31" s="545"/>
      <c r="N31" s="618"/>
      <c r="O31" s="495"/>
      <c r="P31" s="495"/>
    </row>
    <row r="32" spans="1:16" s="510" customFormat="1" ht="60.5" customHeight="1" x14ac:dyDescent="0.3">
      <c r="A32" s="524"/>
      <c r="B32" s="749"/>
      <c r="C32" s="557">
        <v>2</v>
      </c>
      <c r="D32" s="508" t="s">
        <v>21</v>
      </c>
      <c r="E32" s="750" t="str">
        <f>IF(VLOOKUP(CONCATENATE($C$2,"-",$D32),Languages!$A:$D,1,TRUE)=CONCATENATE($C$2,"-",$D32),VLOOKUP(CONCATENATE($C$2,"-",$D32),Languages!$A:$D,Kybermittari!$C$7,TRUE),NA())</f>
        <v>Toiminnan osa-alueen toimintavarmuuden kannalta tärkeät suojattavat kohteet on segmentoitu useisiin turvallisuusvyöhykkeisiin perustuen kyberarkkitehtuurissa määritettyihin kriteereihin (esim. riskiarviointien tulokset, turvallisuusvaatimukset, etäkäyttö, toiminnalliset vaatimukset).</v>
      </c>
      <c r="F32" s="750"/>
      <c r="G32" s="750"/>
      <c r="H32" s="493">
        <f>IFERROR(INT(LEFT($I32,1)),0)</f>
        <v>0</v>
      </c>
      <c r="I32" s="54"/>
      <c r="J32" s="527"/>
      <c r="K32" s="509"/>
      <c r="L32" s="524"/>
      <c r="M32" s="545"/>
      <c r="N32" s="524"/>
      <c r="O32" s="495"/>
      <c r="P32" s="495"/>
    </row>
    <row r="33" spans="1:16" s="510" customFormat="1" ht="10" customHeight="1" x14ac:dyDescent="0.3">
      <c r="A33" s="524"/>
      <c r="B33" s="511"/>
      <c r="C33" s="565"/>
      <c r="D33" s="513"/>
      <c r="E33" s="501"/>
      <c r="F33" s="501"/>
      <c r="G33" s="501"/>
      <c r="H33" s="499"/>
      <c r="I33" s="502"/>
      <c r="J33" s="514"/>
      <c r="K33" s="509"/>
      <c r="L33" s="524"/>
      <c r="M33" s="545"/>
      <c r="N33" s="524"/>
      <c r="O33" s="495"/>
      <c r="P33" s="495"/>
    </row>
    <row r="34" spans="1:16" s="510" customFormat="1" ht="35" customHeight="1" x14ac:dyDescent="0.3">
      <c r="A34" s="524"/>
      <c r="B34" s="511"/>
      <c r="C34" s="557">
        <v>3</v>
      </c>
      <c r="D34" s="508" t="s">
        <v>22</v>
      </c>
      <c r="E34" s="750" t="str">
        <f>IF(VLOOKUP(CONCATENATE($C$2,"-",$D34),Languages!$A:$D,1,TRUE)=CONCATENATE($C$2,"-",$D34),VLOOKUP(CONCATENATE($C$2,"-",$D34),Languages!$A:$D,Kybermittari!$C$7,TRUE),NA())</f>
        <v>Kaikki suojattavat kohteet on segmentoitu turvallisuusvyöhykkeisiin perustuen kyberarkkitehtuurissa määritettyihin kriteereihin.</v>
      </c>
      <c r="F34" s="750"/>
      <c r="G34" s="750"/>
      <c r="H34" s="493">
        <f>IFERROR(INT(LEFT($I34,1)),0)</f>
        <v>0</v>
      </c>
      <c r="I34" s="54"/>
      <c r="J34" s="527"/>
      <c r="K34" s="509"/>
      <c r="L34" s="483"/>
      <c r="M34" s="545"/>
      <c r="N34" s="523"/>
      <c r="O34" s="495"/>
      <c r="P34" s="495"/>
    </row>
    <row r="35" spans="1:16" s="343" customFormat="1" ht="30" customHeight="1" x14ac:dyDescent="0.25">
      <c r="A35" s="332"/>
      <c r="B35" s="461"/>
      <c r="C35" s="336">
        <v>3</v>
      </c>
      <c r="D35" s="336" t="str">
        <f>IF(VLOOKUP(CONCATENATE($C$2,"-",C35),Languages!$A:$D,1,TRUE)=CONCATENATE($C$2,"-",C35),VLOOKUP(CONCATENATE($C$2,"-",C35),Languages!$A:$D,Kybermittari!$C$7,TRUE),NA())</f>
        <v>Sovellusturvallisuus osana kyberarkkitehtuuria</v>
      </c>
      <c r="E35" s="336"/>
      <c r="F35" s="506"/>
      <c r="G35" s="506"/>
      <c r="H35" s="506"/>
      <c r="I35" s="506" t="s">
        <v>19</v>
      </c>
      <c r="J35" s="507"/>
      <c r="K35" s="339"/>
      <c r="L35" s="332"/>
      <c r="M35" s="533"/>
      <c r="N35" s="636"/>
      <c r="O35" s="341"/>
      <c r="P35" s="341"/>
    </row>
    <row r="36" spans="1:16" s="510" customFormat="1" ht="35" customHeight="1" x14ac:dyDescent="0.3">
      <c r="A36" s="524"/>
      <c r="B36" s="511"/>
      <c r="C36" s="753" t="str">
        <f>IF(VLOOKUP(CONCATENATE($C$2,"-",$C35,"-0"),Languages!$A:$D,1,TRUE)=CONCATENATE($C$2,"-",$C35,"-0"),VLOOKUP(CONCATENATE($C$2,"-",$C35,"-0"),Languages!$A:$D,Kybermittari!$C$7,TRUE),NA())</f>
        <v>Sovellusturvallisuus on keskeisessä roolissa kyberarkkitehtuurissa, kun suojataan käyttäjiä ja tietoa. Kehitettävien sovelluksien tulee olla resilienttejä myös epäsuotuisissa olosuhteissa ja väärinkäyttöä vastaan. Sovellusturvallisuus tulee huomioida myös käytettäessä kolmansien osapuolien ratkaisuja.</v>
      </c>
      <c r="D36" s="753"/>
      <c r="E36" s="753"/>
      <c r="F36" s="753"/>
      <c r="G36" s="753"/>
      <c r="H36" s="753"/>
      <c r="I36" s="753"/>
      <c r="J36" s="753"/>
      <c r="K36" s="509"/>
      <c r="L36" s="483"/>
      <c r="M36" s="545"/>
      <c r="N36" s="523"/>
      <c r="O36" s="495"/>
      <c r="P36" s="495"/>
    </row>
    <row r="37" spans="1:16" s="547" customFormat="1" ht="20" customHeight="1" x14ac:dyDescent="0.3">
      <c r="A37" s="483"/>
      <c r="B37" s="476"/>
      <c r="C37" s="477" t="str">
        <f>IF(VLOOKUP("GEN-LEVEL",Languages!$A:$D,1,TRUE)="GEN-LEVEL",VLOOKUP("GEN-LEVEL",Languages!$A:$D,Kybermittari!$C$7,TRUE),NA())</f>
        <v>Taso</v>
      </c>
      <c r="D37" s="477"/>
      <c r="E37" s="478" t="str">
        <f>IF(VLOOKUP("GEN-PRACTICE",Languages!$A:$D,1,TRUE)="GEN-PRACTICE",VLOOKUP("GEN-PRACTICE",Languages!$A:$D,Kybermittari!$C$7,TRUE),NA())</f>
        <v>Käytäntö</v>
      </c>
      <c r="F37" s="479"/>
      <c r="G37" s="480"/>
      <c r="H37" s="481"/>
      <c r="I37" s="478" t="str">
        <f>IF(VLOOKUP("GEN-ANSWER",Languages!$A:$D,1,TRUE)="GEN-ANSWER",VLOOKUP("GEN-ANSWER",Languages!$A:$D,Kybermittari!$C$7,TRUE),NA())</f>
        <v>Vastaus</v>
      </c>
      <c r="J37" s="480" t="str">
        <f>IF(VLOOKUP("GEN-COMMENT",Languages!$A:$D,1,TRUE)="GEN-COMMENT",VLOOKUP("GEN-COMMENT",Languages!$A:$D,Kybermittari!$C$7,TRUE),NA())</f>
        <v>Kommentti ja viittaukset</v>
      </c>
      <c r="K37" s="482"/>
      <c r="L37" s="483"/>
      <c r="M37" s="545"/>
      <c r="N37" s="523"/>
      <c r="O37" s="546"/>
      <c r="P37" s="546"/>
    </row>
    <row r="38" spans="1:16" s="547" customFormat="1" ht="10" customHeight="1" x14ac:dyDescent="0.3">
      <c r="A38" s="483"/>
      <c r="B38" s="476"/>
      <c r="C38" s="487"/>
      <c r="D38" s="487"/>
      <c r="E38" s="488"/>
      <c r="F38" s="489"/>
      <c r="G38" s="490"/>
      <c r="H38" s="491"/>
      <c r="I38" s="488"/>
      <c r="J38" s="490"/>
      <c r="K38" s="482"/>
      <c r="L38" s="483"/>
      <c r="M38" s="545"/>
      <c r="N38" s="523"/>
      <c r="O38" s="546"/>
      <c r="P38" s="546"/>
    </row>
    <row r="39" spans="1:16" s="547" customFormat="1" ht="20" customHeight="1" x14ac:dyDescent="0.3">
      <c r="A39" s="483"/>
      <c r="B39" s="476"/>
      <c r="C39" s="557">
        <v>1</v>
      </c>
      <c r="D39" s="558"/>
      <c r="E39" s="559"/>
      <c r="F39" s="560"/>
      <c r="G39" s="561"/>
      <c r="H39" s="562"/>
      <c r="I39" s="559"/>
      <c r="J39" s="563"/>
      <c r="K39" s="482"/>
      <c r="L39" s="483"/>
      <c r="M39" s="545"/>
      <c r="N39" s="523"/>
      <c r="O39" s="546"/>
      <c r="P39" s="546"/>
    </row>
    <row r="40" spans="1:16" s="547" customFormat="1" ht="10" customHeight="1" x14ac:dyDescent="0.3">
      <c r="A40" s="483"/>
      <c r="B40" s="476"/>
      <c r="C40" s="487"/>
      <c r="D40" s="487"/>
      <c r="E40" s="488"/>
      <c r="F40" s="489"/>
      <c r="G40" s="490"/>
      <c r="H40" s="491"/>
      <c r="I40" s="488"/>
      <c r="J40" s="490"/>
      <c r="K40" s="482"/>
      <c r="L40" s="483"/>
      <c r="M40" s="545"/>
      <c r="N40" s="523"/>
      <c r="O40" s="546"/>
      <c r="P40" s="546"/>
    </row>
    <row r="41" spans="1:16" s="510" customFormat="1" ht="47" customHeight="1" x14ac:dyDescent="0.3">
      <c r="A41" s="524"/>
      <c r="B41" s="511"/>
      <c r="C41" s="765">
        <v>2</v>
      </c>
      <c r="D41" s="508" t="s">
        <v>25</v>
      </c>
      <c r="E41" s="750" t="str">
        <f>IF(VLOOKUP(CONCATENATE($C$2,"-",$D41),Languages!$A:$D,1,TRUE)=CONCATENATE($C$2,"-",$D41),VLOOKUP(CONCATENATE($C$2,"-",$D41),Languages!$A:$D,Kybermittari!$C$7,TRUE),NA())</f>
        <v>Sisäisesti kehitettävien sovellusten kehitystyössä noudatetaan turvallisen sovelluskehityksen periaatteita. (Koskee sovelluksia, joita kehitetään toiminnan osa-alueen toimintavarmuuden kannalta tärkeisiin suojattaviin kohteisiin).</v>
      </c>
      <c r="F41" s="750"/>
      <c r="G41" s="750"/>
      <c r="H41" s="493">
        <f>IFERROR(INT(LEFT($I41,1)),0)</f>
        <v>0</v>
      </c>
      <c r="I41" s="54"/>
      <c r="J41" s="527"/>
      <c r="K41" s="509"/>
      <c r="L41" s="524"/>
      <c r="M41" s="545"/>
      <c r="N41" s="524"/>
      <c r="O41" s="495"/>
      <c r="P41" s="495"/>
    </row>
    <row r="42" spans="1:16" s="510" customFormat="1" ht="76" customHeight="1" x14ac:dyDescent="0.3">
      <c r="A42" s="524"/>
      <c r="B42" s="511"/>
      <c r="C42" s="767"/>
      <c r="D42" s="508" t="s">
        <v>26</v>
      </c>
      <c r="E42" s="750" t="str">
        <f>IF(VLOOKUP(CONCATENATE($C$2,"-",$D42),Languages!$A:$D,1,TRUE)=CONCATENATE($C$2,"-",$D42),VLOOKUP(CONCATENATE($C$2,"-",$D42),Languages!$A:$D,Kybermittari!$C$7,TRUE),NA())</f>
        <v>Hankittavien sovellusten (esim. mobiilisovellukset, omaan ympäristöön asennettavat sovellukset, SaaS-sovellukset) yhtenä valintakriteerinä käytetään toimittajan turvallisen sovelluskehityksen periaatteita [kts. DEPENDENCIES-2e]. (Koskee sovelluksia, joita hankitaan toiminnan osa-alueen toimintavarmuuden kannalta tärkeisiin suojattaviin kohteisiin).</v>
      </c>
      <c r="F42" s="750"/>
      <c r="G42" s="750"/>
      <c r="H42" s="493">
        <f>IFERROR(INT(LEFT($I42,1)),0)</f>
        <v>0</v>
      </c>
      <c r="I42" s="54"/>
      <c r="J42" s="527"/>
      <c r="K42" s="509"/>
      <c r="L42" s="524"/>
      <c r="M42" s="545"/>
      <c r="N42" s="524"/>
      <c r="O42" s="495"/>
      <c r="P42" s="495"/>
    </row>
    <row r="43" spans="1:16" s="510" customFormat="1" ht="10" customHeight="1" x14ac:dyDescent="0.3">
      <c r="A43" s="524"/>
      <c r="B43" s="511"/>
      <c r="C43" s="565"/>
      <c r="D43" s="513"/>
      <c r="E43" s="501"/>
      <c r="F43" s="501"/>
      <c r="G43" s="501"/>
      <c r="H43" s="499"/>
      <c r="I43" s="502"/>
      <c r="J43" s="514"/>
      <c r="K43" s="509"/>
      <c r="L43" s="524"/>
      <c r="M43" s="545"/>
      <c r="N43" s="524"/>
      <c r="O43" s="495"/>
      <c r="P43" s="495"/>
    </row>
    <row r="44" spans="1:16" s="510" customFormat="1" ht="46" customHeight="1" x14ac:dyDescent="0.3">
      <c r="A44" s="524"/>
      <c r="B44" s="511"/>
      <c r="C44" s="765">
        <v>3</v>
      </c>
      <c r="D44" s="508" t="s">
        <v>27</v>
      </c>
      <c r="E44" s="750" t="str">
        <f>IF(VLOOKUP(CONCATENATE($C$2,"-",$D44),Languages!$A:$D,1,TRUE)=CONCATENATE($C$2,"-",$D44),VLOOKUP(CONCATENATE($C$2,"-",$D44),Languages!$A:$D,Kybermittari!$C$7,TRUE),NA())</f>
        <v>Arkkitehtuurikatselmointiprosessi arvioi uusien ja päivitettyjen sovellusten turvallisuutta ennen tuotantoon vientiä [kts. ARCHITECTURE-1h].</v>
      </c>
      <c r="F44" s="750"/>
      <c r="G44" s="750"/>
      <c r="H44" s="493">
        <f>IFERROR(INT(LEFT($I44,1)),0)</f>
        <v>0</v>
      </c>
      <c r="I44" s="54"/>
      <c r="J44" s="527"/>
      <c r="K44" s="509"/>
      <c r="L44" s="524"/>
      <c r="M44" s="545"/>
      <c r="N44" s="524"/>
      <c r="O44" s="495"/>
      <c r="P44" s="495"/>
    </row>
    <row r="45" spans="1:16" s="510" customFormat="1" ht="75.5" customHeight="1" x14ac:dyDescent="0.3">
      <c r="A45" s="524"/>
      <c r="B45" s="511"/>
      <c r="C45" s="767"/>
      <c r="D45" s="508" t="s">
        <v>28</v>
      </c>
      <c r="E45" s="750" t="str">
        <f>IF(VLOOKUP(CONCATENATE($C$2,"-",$D45),Languages!$A:$D,1,TRUE)=CONCATENATE($C$2,"-",$D45),VLOOKUP(CONCATENATE($C$2,"-",$D45),Languages!$A:$D,Kybermittari!$C$7,TRUE),NA())</f>
        <v>Turvallisuustestausta (esim. staattinen analyysi, dynaaminen testaus, fuzzaus, murtotestaus) tehdään sisäisesti kehitettyihin ja räätälöityihin sovelluksiin. Testausta tehdään tunnistettujen riskien perusteella, käyttäen organisaation määrittämiä kriteerejä (esim. toteuttamisesta kulunut aika, muutokset sovelluksissa tai muutokset uhkaympäristössä).</v>
      </c>
      <c r="F45" s="750"/>
      <c r="G45" s="750"/>
      <c r="H45" s="493">
        <f>IFERROR(INT(LEFT($I45,1)),0)</f>
        <v>0</v>
      </c>
      <c r="I45" s="54"/>
      <c r="J45" s="527"/>
      <c r="K45" s="509"/>
      <c r="L45" s="524"/>
      <c r="M45" s="545"/>
      <c r="N45" s="524"/>
      <c r="O45" s="495"/>
      <c r="P45" s="495"/>
    </row>
    <row r="46" spans="1:16" s="343" customFormat="1" ht="30" customHeight="1" x14ac:dyDescent="0.25">
      <c r="A46" s="332"/>
      <c r="B46" s="461"/>
      <c r="C46" s="336">
        <v>4</v>
      </c>
      <c r="D46" s="336" t="str">
        <f>IF(VLOOKUP(CONCATENATE($C$2,"-",C46),Languages!$A:$D,1,TRUE)=CONCATENATE($C$2,"-",C46),VLOOKUP(CONCATENATE($C$2,"-",C46),Languages!$A:$D,Kybermittari!$C$7,TRUE),NA())</f>
        <v>Tietojensuojelu osana kyberarkkitehtuuria</v>
      </c>
      <c r="E46" s="336"/>
      <c r="F46" s="506"/>
      <c r="G46" s="506"/>
      <c r="H46" s="506"/>
      <c r="I46" s="506" t="s">
        <v>19</v>
      </c>
      <c r="J46" s="507"/>
      <c r="K46" s="339"/>
      <c r="L46" s="347"/>
      <c r="M46" s="533"/>
      <c r="N46" s="347"/>
      <c r="O46" s="341"/>
      <c r="P46" s="341"/>
    </row>
    <row r="47" spans="1:16" s="510" customFormat="1" ht="35" customHeight="1" x14ac:dyDescent="0.3">
      <c r="A47" s="524"/>
      <c r="B47" s="511"/>
      <c r="C47" s="753" t="str">
        <f>IF(VLOOKUP(CONCATENATE($C$2,"-",$C46,"-0"),Languages!$A:$D,1,TRUE)=CONCATENATE($C$2,"-",$C46,"-0"),VLOOKUP(CONCATENATE($C$2,"-",$C46,"-0"),Languages!$A:$D,Kybermittari!$C$7,TRUE),NA())</f>
        <v>Kyberarkkitehtuuri rakentuu suojattavan tiedon ympärille. Jotta sensitiivistä tietoa voidaan suojata, tulee se ensin tunnistaa. Suojaamiseen käytettävien kontrollien ja keinojen, kuten avaintenhallinnan prosessien, tulee olla toteutettu ja käytössä.</v>
      </c>
      <c r="D47" s="753"/>
      <c r="E47" s="753"/>
      <c r="F47" s="753"/>
      <c r="G47" s="753"/>
      <c r="H47" s="753"/>
      <c r="I47" s="753"/>
      <c r="J47" s="753"/>
      <c r="K47" s="509"/>
      <c r="L47" s="524"/>
      <c r="M47" s="545"/>
      <c r="N47" s="524"/>
      <c r="O47" s="495"/>
      <c r="P47" s="495"/>
    </row>
    <row r="48" spans="1:16" s="547" customFormat="1" ht="20" customHeight="1" x14ac:dyDescent="0.3">
      <c r="A48" s="483"/>
      <c r="B48" s="476"/>
      <c r="C48" s="477" t="str">
        <f>IF(VLOOKUP("GEN-LEVEL",Languages!$A:$D,1,TRUE)="GEN-LEVEL",VLOOKUP("GEN-LEVEL",Languages!$A:$D,Kybermittari!$C$7,TRUE),NA())</f>
        <v>Taso</v>
      </c>
      <c r="D48" s="477"/>
      <c r="E48" s="478" t="str">
        <f>IF(VLOOKUP("GEN-PRACTICE",Languages!$A:$D,1,TRUE)="GEN-PRACTICE",VLOOKUP("GEN-PRACTICE",Languages!$A:$D,Kybermittari!$C$7,TRUE),NA())</f>
        <v>Käytäntö</v>
      </c>
      <c r="F48" s="479"/>
      <c r="G48" s="480"/>
      <c r="H48" s="481"/>
      <c r="I48" s="478" t="str">
        <f>IF(VLOOKUP("GEN-ANSWER",Languages!$A:$D,1,TRUE)="GEN-ANSWER",VLOOKUP("GEN-ANSWER",Languages!$A:$D,Kybermittari!$C$7,TRUE),NA())</f>
        <v>Vastaus</v>
      </c>
      <c r="J48" s="480" t="str">
        <f>IF(VLOOKUP("GEN-COMMENT",Languages!$A:$D,1,TRUE)="GEN-COMMENT",VLOOKUP("GEN-COMMENT",Languages!$A:$D,Kybermittari!$C$7,TRUE),NA())</f>
        <v>Kommentti ja viittaukset</v>
      </c>
      <c r="K48" s="482"/>
      <c r="L48" s="618"/>
      <c r="M48" s="545"/>
      <c r="N48" s="618"/>
      <c r="O48" s="546"/>
      <c r="P48" s="546"/>
    </row>
    <row r="49" spans="1:16" s="547" customFormat="1" ht="10" customHeight="1" x14ac:dyDescent="0.3">
      <c r="A49" s="483"/>
      <c r="B49" s="476"/>
      <c r="C49" s="487"/>
      <c r="D49" s="487"/>
      <c r="E49" s="488"/>
      <c r="F49" s="489"/>
      <c r="G49" s="490"/>
      <c r="H49" s="491"/>
      <c r="I49" s="488"/>
      <c r="J49" s="490"/>
      <c r="K49" s="482"/>
      <c r="L49" s="618"/>
      <c r="M49" s="545"/>
      <c r="N49" s="618"/>
      <c r="O49" s="546"/>
      <c r="P49" s="546"/>
    </row>
    <row r="50" spans="1:16" s="510" customFormat="1" ht="74" customHeight="1" x14ac:dyDescent="0.3">
      <c r="A50" s="524"/>
      <c r="B50" s="511"/>
      <c r="C50" s="765">
        <v>1</v>
      </c>
      <c r="D50" s="508" t="s">
        <v>126</v>
      </c>
      <c r="E50" s="750" t="str">
        <f>IF(VLOOKUP(CONCATENATE($C$2,"-",$D50),Languages!$A:$D,1,TRUE)=CONCATENATE($C$2,"-",$D50),VLOOKUP(CONCATENATE($C$2,"-",$D50),Languages!$A:$D,Kybermittari!$C$7,TRUE),NA())</f>
        <v>Arkaluontoisia tietoja suojataan, kun se on talletettuna ("at rest") - ainakin tapauskohtaisesti. (Arkaluontoisia tietoja voivat olla esim. henkilö-, maksukortti- ja potilastiedot, immateriaalioikeudet tai operatiiviset tiedot). (Suojaustapoina voidaan käyttää esim. salausta, maskausta, salasanasuojausta tai pääsynhallintaa).</v>
      </c>
      <c r="F50" s="750"/>
      <c r="G50" s="750"/>
      <c r="H50" s="493">
        <f>IFERROR(INT(LEFT($I50,1)),0)</f>
        <v>0</v>
      </c>
      <c r="I50" s="54"/>
      <c r="J50" s="527"/>
      <c r="K50" s="509"/>
      <c r="L50" s="524"/>
      <c r="M50" s="545"/>
      <c r="N50" s="524"/>
      <c r="O50" s="495"/>
      <c r="P50" s="495"/>
    </row>
    <row r="51" spans="1:16" s="510" customFormat="1" ht="59" customHeight="1" x14ac:dyDescent="0.3">
      <c r="A51" s="524"/>
      <c r="B51" s="511"/>
      <c r="C51" s="767"/>
      <c r="D51" s="508" t="s">
        <v>129</v>
      </c>
      <c r="E51" s="750" t="str">
        <f>IF(VLOOKUP(CONCATENATE($C$2,"-",$D51),Languages!$A:$D,1,TRUE)=CONCATENATE($C$2,"-",$D51),VLOOKUP(CONCATENATE($C$2,"-",$D51),Languages!$A:$D,Kybermittari!$C$7,TRUE),NA())</f>
        <v>Arkaluontoisia tietoja suojataan siirron yhteydessä ("at transit") - ainakin tapauskohtaisesti [kts. ASSET-2c]. (Suojaustapoja voidaan käyttää esim. salausta, maskausta tai siirtoa suojatuissa kanavissa).</v>
      </c>
      <c r="F51" s="750"/>
      <c r="G51" s="750"/>
      <c r="H51" s="493">
        <f>IFERROR(INT(LEFT($I51,1)),0)</f>
        <v>0</v>
      </c>
      <c r="I51" s="54"/>
      <c r="J51" s="527"/>
      <c r="K51" s="509"/>
      <c r="L51" s="483"/>
      <c r="M51" s="545"/>
      <c r="N51" s="523"/>
      <c r="O51" s="495"/>
      <c r="P51" s="495"/>
    </row>
    <row r="52" spans="1:16" s="510" customFormat="1" ht="10" customHeight="1" x14ac:dyDescent="0.3">
      <c r="A52" s="524"/>
      <c r="B52" s="511"/>
      <c r="C52" s="565"/>
      <c r="D52" s="513"/>
      <c r="E52" s="501"/>
      <c r="F52" s="501"/>
      <c r="G52" s="501"/>
      <c r="H52" s="499"/>
      <c r="I52" s="502"/>
      <c r="J52" s="514"/>
      <c r="K52" s="509"/>
      <c r="L52" s="483"/>
      <c r="M52" s="545"/>
      <c r="N52" s="523"/>
      <c r="O52" s="495"/>
      <c r="P52" s="495"/>
    </row>
    <row r="53" spans="1:16" s="510" customFormat="1" ht="50.5" customHeight="1" x14ac:dyDescent="0.3">
      <c r="A53" s="524"/>
      <c r="B53" s="511"/>
      <c r="C53" s="765">
        <v>2</v>
      </c>
      <c r="D53" s="508" t="s">
        <v>132</v>
      </c>
      <c r="E53" s="750" t="str">
        <f>IF(VLOOKUP(CONCATENATE($C$2,"-",$D53),Languages!$A:$D,1,TRUE)=CONCATENATE($C$2,"-",$D53),VLOOKUP(CONCATENATE($C$2,"-",$D53),Languages!$A:$D,Kybermittari!$C$7,TRUE),NA())</f>
        <v xml:space="preserve">Avaintenhallintainfrastruktuuri (esim. avainten luonti, säilytys, tuhoaminen, päivittäminen ja kumoaminen) on määritetty ja toteutettu tiedon suojaamiseksi talletuksen ja siirron aikana. </v>
      </c>
      <c r="F53" s="750"/>
      <c r="G53" s="750"/>
      <c r="H53" s="493">
        <f>IFERROR(INT(LEFT($I53,1)),0)</f>
        <v>0</v>
      </c>
      <c r="I53" s="54"/>
      <c r="J53" s="527"/>
      <c r="K53" s="509"/>
      <c r="L53" s="483"/>
      <c r="M53" s="545"/>
      <c r="N53" s="523"/>
      <c r="O53" s="495"/>
      <c r="P53" s="495"/>
    </row>
    <row r="54" spans="1:16" s="510" customFormat="1" ht="47" customHeight="1" x14ac:dyDescent="0.3">
      <c r="A54" s="524"/>
      <c r="B54" s="511"/>
      <c r="C54" s="766"/>
      <c r="D54" s="508" t="s">
        <v>135</v>
      </c>
      <c r="E54" s="750" t="str">
        <f>IF(VLOOKUP(CONCATENATE($C$2,"-",$D54),Languages!$A:$D,1,TRUE)=CONCATENATE($C$2,"-",$D54),VLOOKUP(CONCATENATE($C$2,"-",$D54),Languages!$A:$D,Kybermittari!$C$7,TRUE),NA())</f>
        <v xml:space="preserve">Kyberarkkitehtuurin mukaiset salauksen hallintamenetelmät ja -käytännöt ("cryptographic controls") on määritetty ja toteutettu tiedon suojaamiseksi talletuksen ja siirron aikana. </v>
      </c>
      <c r="F54" s="750"/>
      <c r="G54" s="750"/>
      <c r="H54" s="493">
        <f>IFERROR(INT(LEFT($I54,1)),0)</f>
        <v>0</v>
      </c>
      <c r="I54" s="54"/>
      <c r="J54" s="527"/>
      <c r="K54" s="509"/>
      <c r="L54" s="483"/>
      <c r="M54" s="545"/>
      <c r="N54" s="523"/>
      <c r="O54" s="495"/>
      <c r="P54" s="495"/>
    </row>
    <row r="55" spans="1:16" s="510" customFormat="1" ht="60" customHeight="1" x14ac:dyDescent="0.3">
      <c r="A55" s="524"/>
      <c r="B55" s="511"/>
      <c r="C55" s="767"/>
      <c r="D55" s="508" t="s">
        <v>138</v>
      </c>
      <c r="E55" s="750" t="str">
        <f>IF(VLOOKUP(CONCATENATE($C$2,"-",$D55),Languages!$A:$D,1,TRUE)=CONCATENATE($C$2,"-",$D55),VLOOKUP(CONCATENATE($C$2,"-",$D55),Languages!$A:$D,Kybermittari!$C$7,TRUE),NA())</f>
        <v>Kyberarkkitehtuuri sisältää turvallisuusvaatimuksiin perustuvia kontrolleja (esim. tiedon häviämisen estäminen, tietojen fyysinen exfiltrointi) tiedon suojaamiseksi järjestelmien sisällä ja järjestelmien välisessä tiedon siirrossa [kts. ARCHITECTURE-1e].</v>
      </c>
      <c r="F55" s="750"/>
      <c r="G55" s="750"/>
      <c r="H55" s="493">
        <f>IFERROR(INT(LEFT($I55,1)),0)</f>
        <v>0</v>
      </c>
      <c r="I55" s="54"/>
      <c r="J55" s="527"/>
      <c r="K55" s="509"/>
      <c r="L55" s="483"/>
      <c r="M55" s="545"/>
      <c r="N55" s="523"/>
      <c r="O55" s="495"/>
      <c r="P55" s="495"/>
    </row>
    <row r="56" spans="1:16" s="510" customFormat="1" ht="10" customHeight="1" x14ac:dyDescent="0.3">
      <c r="A56" s="524"/>
      <c r="B56" s="511"/>
      <c r="C56" s="565"/>
      <c r="D56" s="513"/>
      <c r="E56" s="501"/>
      <c r="F56" s="501"/>
      <c r="G56" s="501"/>
      <c r="H56" s="499"/>
      <c r="I56" s="502"/>
      <c r="J56" s="514"/>
      <c r="K56" s="509"/>
      <c r="L56" s="483"/>
      <c r="M56" s="545"/>
      <c r="N56" s="523"/>
      <c r="O56" s="495"/>
      <c r="P56" s="495"/>
    </row>
    <row r="57" spans="1:16" s="510" customFormat="1" ht="47" customHeight="1" x14ac:dyDescent="0.3">
      <c r="A57" s="524"/>
      <c r="B57" s="511"/>
      <c r="C57" s="765">
        <v>3</v>
      </c>
      <c r="D57" s="508" t="s">
        <v>140</v>
      </c>
      <c r="E57" s="750" t="str">
        <f>IF(VLOOKUP(CONCATENATE($C$2,"-",$D57),Languages!$A:$D,1,TRUE)=CONCATENATE($C$2,"-",$D57),VLOOKUP(CONCATENATE($C$2,"-",$D57),Languages!$A:$D,Kybermittari!$C$7,TRUE),NA())</f>
        <v>Valittujen tietokategorioiden [kts. ASSET-2c] kohdalla kyberarkkitehtuuri pitää sisällään kontrollit kaiken tallennetun tiedon suojaamiseen (esim. oma konesali ja pilvipohjaiset tietovarastot ja -kannat).</v>
      </c>
      <c r="F57" s="750"/>
      <c r="G57" s="750"/>
      <c r="H57" s="493">
        <f>IFERROR(INT(LEFT($I57,1)),0)</f>
        <v>0</v>
      </c>
      <c r="I57" s="54"/>
      <c r="J57" s="527"/>
      <c r="K57" s="509"/>
      <c r="L57" s="524"/>
      <c r="M57" s="545"/>
      <c r="N57" s="524"/>
      <c r="O57" s="495"/>
      <c r="P57" s="495"/>
    </row>
    <row r="58" spans="1:16" s="510" customFormat="1" ht="60" customHeight="1" x14ac:dyDescent="0.3">
      <c r="A58" s="524"/>
      <c r="B58" s="511"/>
      <c r="C58" s="766"/>
      <c r="D58" s="508" t="s">
        <v>255</v>
      </c>
      <c r="E58" s="750" t="str">
        <f>IF(VLOOKUP(CONCATENATE($C$2,"-",$D58),Languages!$A:$D,1,TRUE)=CONCATENATE($C$2,"-",$D58),VLOOKUP(CONCATENATE($C$2,"-",$D58),Languages!$A:$D,Kybermittari!$C$7,TRUE),NA())</f>
        <v>Valittujen tietokategorioiden kohdalla [kts. ASSET-2c] kyberarkkitehtuuri pitää sisällään suojausmenetelmät kaikelle siirrossa olevalle tiedolle (esim. sisäverkossa, verkkojen välisillä rajoilla ja ulkoisessa liikenteessä kuten pilviratkaisuissa).</v>
      </c>
      <c r="F58" s="750"/>
      <c r="G58" s="750"/>
      <c r="H58" s="493">
        <f>IFERROR(INT(LEFT($I58,1)),0)</f>
        <v>0</v>
      </c>
      <c r="I58" s="54"/>
      <c r="J58" s="527"/>
      <c r="K58" s="509"/>
      <c r="L58" s="524"/>
      <c r="M58" s="545"/>
      <c r="N58" s="524"/>
      <c r="O58" s="495"/>
      <c r="P58" s="495"/>
    </row>
    <row r="59" spans="1:16" s="510" customFormat="1" ht="47.5" customHeight="1" x14ac:dyDescent="0.3">
      <c r="A59" s="524"/>
      <c r="B59" s="511"/>
      <c r="C59" s="766"/>
      <c r="D59" s="508" t="s">
        <v>373</v>
      </c>
      <c r="E59" s="750" t="str">
        <f>IF(VLOOKUP(CONCATENATE($C$2,"-",$D59),Languages!$A:$D,1,TRUE)=CONCATENATE($C$2,"-",$D59),VLOOKUP(CONCATENATE($C$2,"-",$D59),Languages!$A:$D,Kybermittari!$C$7,TRUE),NA())</f>
        <v>Tietojen suojausta testataan (esim. kontrollien katselmoinnit) organisaation määrittelemien kriteereiden mukaisesti (esim. toteuttamisesta kulunut aika, muutokset järjestelmäarkkitehtuurissa tai muutokset uhkaympäristössä).</v>
      </c>
      <c r="F59" s="750"/>
      <c r="G59" s="750"/>
      <c r="H59" s="493">
        <f>IFERROR(INT(LEFT($I59,1)),0)</f>
        <v>0</v>
      </c>
      <c r="I59" s="54"/>
      <c r="J59" s="527"/>
      <c r="K59" s="509"/>
      <c r="L59" s="524"/>
      <c r="M59" s="545"/>
      <c r="N59" s="524"/>
      <c r="O59" s="495"/>
      <c r="P59" s="495"/>
    </row>
    <row r="60" spans="1:16" s="510" customFormat="1" ht="47.5" customHeight="1" x14ac:dyDescent="0.3">
      <c r="A60" s="524"/>
      <c r="B60" s="511"/>
      <c r="C60" s="767"/>
      <c r="D60" s="508" t="s">
        <v>375</v>
      </c>
      <c r="E60" s="750" t="str">
        <f>IF(VLOOKUP(CONCATENATE($C$2,"-",$D60),Languages!$A:$D,1,TRUE)=CONCATENATE($C$2,"-",$D60),VLOOKUP(CONCATENATE($C$2,"-",$D60),Languages!$A:$D,Kybermittari!$C$7,TRUE),NA())</f>
        <v>Kyberarkkitehtuuri kattaa suojausmenetelmät sovellusten, laiteohjelmistojen ja tiedon luvattomien muutosten varalle (virheet tai tahallinen toiminta).</v>
      </c>
      <c r="F60" s="750"/>
      <c r="G60" s="750"/>
      <c r="H60" s="493">
        <f>IFERROR(INT(LEFT($I60,1)),0)</f>
        <v>0</v>
      </c>
      <c r="I60" s="54"/>
      <c r="J60" s="527"/>
      <c r="K60" s="509"/>
      <c r="L60" s="524"/>
      <c r="M60" s="545"/>
      <c r="N60" s="524"/>
      <c r="O60" s="495"/>
      <c r="P60" s="495"/>
    </row>
    <row r="61" spans="1:16" s="343" customFormat="1" ht="30" customHeight="1" x14ac:dyDescent="0.25">
      <c r="A61" s="332"/>
      <c r="B61" s="461"/>
      <c r="C61" s="336">
        <v>5</v>
      </c>
      <c r="D61" s="336" t="str">
        <f>IF(VLOOKUP(CONCATENATE($C$2,"-",C61),Languages!$A:$D,1,TRUE)=CONCATENATE($C$2,"-",C61),VLOOKUP(CONCATENATE($C$2,"-",C61),Languages!$A:$D,Kybermittari!$C$7,TRUE),NA())</f>
        <v>Yleisiä hallintatoimia</v>
      </c>
      <c r="E61" s="336"/>
      <c r="F61" s="506"/>
      <c r="G61" s="506"/>
      <c r="H61" s="506"/>
      <c r="I61" s="506" t="s">
        <v>19</v>
      </c>
      <c r="J61" s="507"/>
      <c r="K61" s="339"/>
      <c r="L61" s="347"/>
      <c r="M61" s="533"/>
      <c r="N61" s="347"/>
      <c r="O61" s="341"/>
      <c r="P61" s="341"/>
    </row>
    <row r="62" spans="1:16" s="475" customFormat="1" ht="48" customHeight="1" x14ac:dyDescent="0.3">
      <c r="A62" s="524"/>
      <c r="B62" s="525"/>
      <c r="C62" s="753" t="str">
        <f>IF(VLOOKUP(CONCATENATE($C$2,"-",$C61,"-0"),Languages!$A:$D,1,TRUE)=CONCATENATE($C$2,"-",$C61,"-0"),VLOOKUP(CONCATENATE($C$2,"-",$C61,"-0"),Languages!$A:$D,Kybermittari!$C$7,TRUE),NA())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62" s="753"/>
      <c r="E62" s="753"/>
      <c r="F62" s="753"/>
      <c r="G62" s="753"/>
      <c r="H62" s="753"/>
      <c r="I62" s="753"/>
      <c r="J62" s="753"/>
      <c r="K62" s="471"/>
      <c r="L62" s="524"/>
      <c r="M62" s="545"/>
      <c r="N62" s="524"/>
      <c r="O62" s="473"/>
      <c r="P62" s="473"/>
    </row>
    <row r="63" spans="1:16" s="547" customFormat="1" ht="20" customHeight="1" x14ac:dyDescent="0.3">
      <c r="A63" s="483"/>
      <c r="B63" s="476"/>
      <c r="C63" s="477" t="str">
        <f>IF(VLOOKUP("GEN-LEVEL",Languages!$A:$D,1,TRUE)="GEN-LEVEL",VLOOKUP("GEN-LEVEL",Languages!$A:$D,Kybermittari!$C$7,TRUE),NA())</f>
        <v>Taso</v>
      </c>
      <c r="D63" s="477"/>
      <c r="E63" s="478" t="str">
        <f>IF(VLOOKUP("GEN-PRACTICE",Languages!$A:$D,1,TRUE)="GEN-PRACTICE",VLOOKUP("GEN-PRACTICE",Languages!$A:$D,Kybermittari!$C$7,TRUE),NA())</f>
        <v>Käytäntö</v>
      </c>
      <c r="F63" s="479"/>
      <c r="G63" s="480"/>
      <c r="H63" s="481"/>
      <c r="I63" s="478" t="str">
        <f>IF(VLOOKUP("GEN-ANSWER",Languages!$A:$D,1,TRUE)="GEN-ANSWER",VLOOKUP("GEN-ANSWER",Languages!$A:$D,Kybermittari!$C$7,TRUE),NA())</f>
        <v>Vastaus</v>
      </c>
      <c r="J63" s="480" t="str">
        <f>IF(VLOOKUP("GEN-COMMENT",Languages!$A:$D,1,TRUE)="GEN-COMMENT",VLOOKUP("GEN-COMMENT",Languages!$A:$D,Kybermittari!$C$7,TRUE),NA())</f>
        <v>Kommentti ja viittaukset</v>
      </c>
      <c r="K63" s="482"/>
      <c r="L63" s="524"/>
      <c r="M63" s="545"/>
      <c r="N63" s="524"/>
      <c r="O63" s="546"/>
      <c r="P63" s="546"/>
    </row>
    <row r="64" spans="1:16" s="547" customFormat="1" ht="10" customHeight="1" x14ac:dyDescent="0.3">
      <c r="A64" s="483"/>
      <c r="B64" s="476"/>
      <c r="C64" s="487"/>
      <c r="D64" s="487"/>
      <c r="E64" s="488"/>
      <c r="F64" s="489"/>
      <c r="G64" s="490"/>
      <c r="H64" s="491"/>
      <c r="I64" s="488"/>
      <c r="J64" s="490"/>
      <c r="K64" s="482"/>
      <c r="L64" s="524"/>
      <c r="M64" s="545"/>
      <c r="N64" s="524"/>
      <c r="O64" s="546"/>
      <c r="P64" s="546"/>
    </row>
    <row r="65" spans="1:16" s="547" customFormat="1" ht="20" customHeight="1" x14ac:dyDescent="0.3">
      <c r="A65" s="483"/>
      <c r="B65" s="476"/>
      <c r="C65" s="557">
        <v>1</v>
      </c>
      <c r="D65" s="558"/>
      <c r="E65" s="559"/>
      <c r="F65" s="560"/>
      <c r="G65" s="561"/>
      <c r="H65" s="562"/>
      <c r="I65" s="559"/>
      <c r="J65" s="563"/>
      <c r="K65" s="482"/>
      <c r="L65" s="524"/>
      <c r="M65" s="545"/>
      <c r="N65" s="524"/>
      <c r="O65" s="546"/>
      <c r="P65" s="546"/>
    </row>
    <row r="66" spans="1:16" s="547" customFormat="1" ht="10" customHeight="1" x14ac:dyDescent="0.3">
      <c r="A66" s="483"/>
      <c r="B66" s="476"/>
      <c r="C66" s="487"/>
      <c r="D66" s="487"/>
      <c r="E66" s="488"/>
      <c r="F66" s="489"/>
      <c r="G66" s="490"/>
      <c r="H66" s="491"/>
      <c r="I66" s="488"/>
      <c r="J66" s="490"/>
      <c r="K66" s="482"/>
      <c r="L66" s="524"/>
      <c r="M66" s="545"/>
      <c r="N66" s="524"/>
      <c r="O66" s="546"/>
      <c r="P66" s="546"/>
    </row>
    <row r="67" spans="1:16" s="510" customFormat="1" ht="35" customHeight="1" x14ac:dyDescent="0.3">
      <c r="A67" s="524"/>
      <c r="B67" s="749"/>
      <c r="C67" s="765">
        <v>2</v>
      </c>
      <c r="D67" s="508" t="s">
        <v>143</v>
      </c>
      <c r="E67" s="750" t="str">
        <f>IF(VLOOKUP(CONCATENATE($C$2,"-",$D67),Languages!$A:$D,1,TRUE)=CONCATENATE($C$2,"-",$D67),VLOOKUP(CONCATENATE($C$2,"-",$D67),Languages!$A:$D,Kybermittari!$C$7,TRUE),NA())</f>
        <v>Kyberturvallisuusarkkitehtuurin (ARCHITECTURE) osioon liittyen on määritetty dokumentoidut käytännöt, joita noudatetaan ja pidetään yllä.</v>
      </c>
      <c r="F67" s="750"/>
      <c r="G67" s="750"/>
      <c r="H67" s="493">
        <f>IFERROR(INT(LEFT($I67,1)),0)</f>
        <v>0</v>
      </c>
      <c r="I67" s="54"/>
      <c r="J67" s="527"/>
      <c r="K67" s="509"/>
      <c r="L67" s="524"/>
      <c r="M67" s="545"/>
      <c r="N67" s="524"/>
      <c r="O67" s="495"/>
      <c r="P67" s="495"/>
    </row>
    <row r="68" spans="1:16" s="510" customFormat="1" ht="35" customHeight="1" x14ac:dyDescent="0.3">
      <c r="A68" s="524"/>
      <c r="B68" s="749"/>
      <c r="C68" s="766"/>
      <c r="D68" s="508" t="s">
        <v>146</v>
      </c>
      <c r="E68" s="750" t="str">
        <f>IF(VLOOKUP(CONCATENATE($C$2,"-",$D68),Languages!$A:$D,1,TRUE)=CONCATENATE($C$2,"-",$D68),VLOOKUP(CONCATENATE($C$2,"-",$D68),Languages!$A:$D,Kybermittari!$C$7,TRUE),NA())</f>
        <v>Kyberturvallisuusarkkitehtuurin (ARCHITECTURE) osion toimintaan on saatavilla riittävät resurssit (henkilöstö, rahoitus ja työkalut).</v>
      </c>
      <c r="F68" s="750"/>
      <c r="G68" s="750"/>
      <c r="H68" s="493">
        <f>IFERROR(INT(LEFT($I68,1)),0)</f>
        <v>0</v>
      </c>
      <c r="I68" s="54"/>
      <c r="J68" s="527"/>
      <c r="K68" s="509"/>
      <c r="L68" s="524"/>
      <c r="M68" s="545"/>
      <c r="N68" s="524"/>
      <c r="O68" s="495"/>
      <c r="P68" s="495"/>
    </row>
    <row r="69" spans="1:16" s="510" customFormat="1" ht="35" customHeight="1" x14ac:dyDescent="0.25">
      <c r="A69" s="524"/>
      <c r="B69" s="749"/>
      <c r="C69" s="766"/>
      <c r="D69" s="508" t="s">
        <v>149</v>
      </c>
      <c r="E69" s="750" t="str">
        <f>IF(VLOOKUP(CONCATENATE($C$2,"-",$D69),Languages!$A:$D,1,TRUE)=CONCATENATE($C$2,"-",$D69),VLOOKUP(CONCATENATE($C$2,"-",$D69),Languages!$A:$D,Kybermittari!$C$7,TRUE),NA())</f>
        <v>Kyberturvallisuusarkkitehtuurin (ARCHITECTURE) osion toimintaa suorittavilla työntekijöillä on riittävät tiedot ja taidot tehtäviensä suorittamiseen.</v>
      </c>
      <c r="F69" s="750"/>
      <c r="G69" s="750"/>
      <c r="H69" s="493">
        <f>IFERROR(INT(LEFT($I69,1)),0)</f>
        <v>0</v>
      </c>
      <c r="I69" s="54"/>
      <c r="J69" s="527"/>
      <c r="K69" s="509"/>
      <c r="L69" s="524"/>
      <c r="M69" s="637"/>
      <c r="N69" s="524"/>
      <c r="O69" s="495"/>
      <c r="P69" s="495"/>
    </row>
    <row r="70" spans="1:16" s="510" customFormat="1" ht="47" customHeight="1" x14ac:dyDescent="0.25">
      <c r="A70" s="524"/>
      <c r="B70" s="749"/>
      <c r="C70" s="767"/>
      <c r="D70" s="508" t="s">
        <v>152</v>
      </c>
      <c r="E70" s="750" t="str">
        <f>IF(VLOOKUP(CONCATENATE($C$2,"-",$D70),Languages!$A:$D,1,TRUE)=CONCATENATE($C$2,"-",$D70),VLOOKUP(CONCATENATE($C$2,"-",$D70),Languages!$A:$D,Kybermittari!$C$7,TRUE),NA())</f>
        <v>Kyberturvallisuusarkkitehtuurin (ARCHITECTURE) osion toiminnan suorittamiseen liittyvät vastuut ja valtuudet on osoitettu nimetyille työntekijöille.</v>
      </c>
      <c r="F70" s="750"/>
      <c r="G70" s="750"/>
      <c r="H70" s="493">
        <f>IFERROR(INT(LEFT($I70,1)),0)</f>
        <v>0</v>
      </c>
      <c r="I70" s="54"/>
      <c r="J70" s="527"/>
      <c r="K70" s="509"/>
      <c r="L70" s="524"/>
      <c r="M70" s="637"/>
      <c r="N70" s="524"/>
      <c r="O70" s="495"/>
      <c r="P70" s="495"/>
    </row>
    <row r="71" spans="1:16" s="510" customFormat="1" ht="10" customHeight="1" x14ac:dyDescent="0.25">
      <c r="A71" s="524"/>
      <c r="B71" s="511"/>
      <c r="C71" s="565"/>
      <c r="D71" s="513"/>
      <c r="E71" s="501"/>
      <c r="F71" s="501"/>
      <c r="G71" s="501"/>
      <c r="H71" s="499"/>
      <c r="I71" s="502"/>
      <c r="J71" s="514"/>
      <c r="K71" s="509"/>
      <c r="L71" s="524"/>
      <c r="M71" s="637"/>
      <c r="N71" s="524"/>
      <c r="O71" s="495"/>
      <c r="P71" s="495"/>
    </row>
    <row r="72" spans="1:16" s="510" customFormat="1" ht="60" customHeight="1" x14ac:dyDescent="0.25">
      <c r="A72" s="524"/>
      <c r="B72" s="749"/>
      <c r="C72" s="765">
        <v>3</v>
      </c>
      <c r="D72" s="508" t="s">
        <v>154</v>
      </c>
      <c r="E72" s="750" t="str">
        <f>IF(VLOOKUP(CONCATENATE($C$2,"-",$D72),Languages!$A:$D,1,TRUE)=CONCATENATE($C$2,"-",$D72),VLOOKUP(CONCATENATE($C$2,"-",$D72),Languages!$A:$D,Kybermittari!$C$7,TRUE),NA())</f>
        <v>Kyberturvallisuusarkkitehtuurin (ARCHITECTURE) osion toiminta perustuu organisaation määrittämään ja ylläpitämään johtotason politiikkaan (tai vastaavaan ohjeistukseen), jossa asetetaan nimenomaisia vaatimuksia tämän osion toiminnalle.</v>
      </c>
      <c r="F72" s="750"/>
      <c r="G72" s="750"/>
      <c r="H72" s="493">
        <f>IFERROR(INT(LEFT($I72,1)),0)</f>
        <v>0</v>
      </c>
      <c r="I72" s="54"/>
      <c r="J72" s="527"/>
      <c r="K72" s="509"/>
      <c r="L72" s="524"/>
      <c r="M72" s="637"/>
      <c r="N72" s="524"/>
      <c r="O72" s="495"/>
      <c r="P72" s="495"/>
    </row>
    <row r="73" spans="1:16" s="510" customFormat="1" ht="47.5" customHeight="1" x14ac:dyDescent="0.25">
      <c r="A73" s="524"/>
      <c r="B73" s="749"/>
      <c r="C73" s="766"/>
      <c r="D73" s="508" t="s">
        <v>156</v>
      </c>
      <c r="E73" s="750" t="str">
        <f>IF(VLOOKUP(CONCATENATE($C$2,"-",$D73),Languages!$A:$D,1,TRUE)=CONCATENATE($C$2,"-",$D73),VLOOKUP(CONCATENATE($C$2,"-",$D73),Languages!$A:$D,Kybermittari!$C$7,TRUE),NA())</f>
        <v>Kyberturvallisuusarkkitehtuurin (ARCHITECTURE) osion toiminnalle on määritetty suoriutumistavoitteet, joiden toteutumista seurataan [kts. PROGRAM-1b].</v>
      </c>
      <c r="F73" s="750"/>
      <c r="G73" s="750"/>
      <c r="H73" s="493">
        <f>IFERROR(INT(LEFT($I73,1)),0)</f>
        <v>0</v>
      </c>
      <c r="I73" s="54"/>
      <c r="J73" s="527"/>
      <c r="K73" s="509"/>
      <c r="L73" s="524"/>
      <c r="M73" s="637"/>
      <c r="N73" s="524"/>
      <c r="O73" s="495"/>
      <c r="P73" s="495"/>
    </row>
    <row r="74" spans="1:16" s="510" customFormat="1" ht="35" customHeight="1" x14ac:dyDescent="0.25">
      <c r="A74" s="524"/>
      <c r="B74" s="749"/>
      <c r="C74" s="767"/>
      <c r="D74" s="508" t="s">
        <v>159</v>
      </c>
      <c r="E74" s="750" t="str">
        <f>IF(VLOOKUP(CONCATENATE($C$2,"-",$D74),Languages!$A:$D,1,TRUE)=CONCATENATE($C$2,"-",$D74),VLOOKUP(CONCATENATE($C$2,"-",$D74),Languages!$A:$D,Kybermittari!$C$7,TRUE),NA())</f>
        <v>Kyberturvallisuusarkkitehtuurin (ARCHITECTURE) osioon liittyvät käytännöt on standardoitu läpi koko organisaation ja niitä kehitetään aktiivisesti.</v>
      </c>
      <c r="F74" s="750"/>
      <c r="G74" s="750"/>
      <c r="H74" s="493">
        <f>IFERROR(INT(LEFT($I74,1)),0)</f>
        <v>0</v>
      </c>
      <c r="I74" s="54"/>
      <c r="J74" s="527"/>
      <c r="K74" s="509"/>
      <c r="L74" s="524"/>
      <c r="M74" s="637"/>
      <c r="N74" s="524"/>
      <c r="O74" s="495"/>
      <c r="P74" s="495"/>
    </row>
    <row r="75" spans="1:16" x14ac:dyDescent="0.25">
      <c r="A75" s="347"/>
      <c r="B75" s="619"/>
      <c r="C75" s="620"/>
      <c r="D75" s="621"/>
      <c r="E75" s="622"/>
      <c r="F75" s="622"/>
      <c r="G75" s="622"/>
      <c r="H75" s="623"/>
      <c r="I75" s="624"/>
      <c r="J75" s="625"/>
      <c r="K75" s="626"/>
      <c r="L75" s="347"/>
      <c r="M75" s="638"/>
      <c r="N75" s="347"/>
    </row>
    <row r="76" spans="1:16" x14ac:dyDescent="0.25">
      <c r="A76" s="347"/>
      <c r="B76" s="347"/>
      <c r="C76" s="347"/>
      <c r="D76" s="347"/>
      <c r="E76" s="347"/>
      <c r="F76" s="347"/>
      <c r="G76" s="347"/>
      <c r="H76" s="627"/>
      <c r="I76" s="347"/>
      <c r="J76" s="347"/>
      <c r="K76" s="347"/>
      <c r="L76" s="347"/>
      <c r="M76" s="638"/>
      <c r="N76" s="347"/>
    </row>
  </sheetData>
  <sheetProtection sheet="1" objects="1" scenarios="1"/>
  <mergeCells count="52">
    <mergeCell ref="C5:J5"/>
    <mergeCell ref="C67:C70"/>
    <mergeCell ref="C72:C74"/>
    <mergeCell ref="E54:G54"/>
    <mergeCell ref="E55:G55"/>
    <mergeCell ref="E57:G57"/>
    <mergeCell ref="E58:G58"/>
    <mergeCell ref="E59:G59"/>
    <mergeCell ref="E73:G73"/>
    <mergeCell ref="E74:G74"/>
    <mergeCell ref="C17:C21"/>
    <mergeCell ref="C23:C25"/>
    <mergeCell ref="E24:G24"/>
    <mergeCell ref="C44:C45"/>
    <mergeCell ref="C47:J47"/>
    <mergeCell ref="C50:C51"/>
    <mergeCell ref="B72:B74"/>
    <mergeCell ref="E72:G72"/>
    <mergeCell ref="E42:G42"/>
    <mergeCell ref="E44:G44"/>
    <mergeCell ref="E45:G45"/>
    <mergeCell ref="E50:G50"/>
    <mergeCell ref="E51:G51"/>
    <mergeCell ref="E53:G53"/>
    <mergeCell ref="C62:J62"/>
    <mergeCell ref="B67:B70"/>
    <mergeCell ref="E67:G67"/>
    <mergeCell ref="E68:G68"/>
    <mergeCell ref="E69:G69"/>
    <mergeCell ref="E70:G70"/>
    <mergeCell ref="E34:G34"/>
    <mergeCell ref="C36:J36"/>
    <mergeCell ref="C41:C42"/>
    <mergeCell ref="E41:G41"/>
    <mergeCell ref="E60:G60"/>
    <mergeCell ref="C53:C55"/>
    <mergeCell ref="C57:C60"/>
    <mergeCell ref="E23:G23"/>
    <mergeCell ref="E25:G25"/>
    <mergeCell ref="C27:J27"/>
    <mergeCell ref="B30:B32"/>
    <mergeCell ref="E30:G30"/>
    <mergeCell ref="E32:G32"/>
    <mergeCell ref="C12:J12"/>
    <mergeCell ref="B15:B17"/>
    <mergeCell ref="E15:G15"/>
    <mergeCell ref="E17:G17"/>
    <mergeCell ref="B18:B21"/>
    <mergeCell ref="E18:G18"/>
    <mergeCell ref="E19:G19"/>
    <mergeCell ref="E20:G20"/>
    <mergeCell ref="E21:G21"/>
  </mergeCells>
  <conditionalFormatting sqref="H39">
    <cfRule type="containsText" dxfId="52" priority="7" operator="containsText" text="0">
      <formula>NOT(ISERROR(SEARCH("0",H39)))</formula>
    </cfRule>
  </conditionalFormatting>
  <conditionalFormatting sqref="H65">
    <cfRule type="containsText" dxfId="51" priority="5" operator="containsText" text="0">
      <formula>NOT(ISERROR(SEARCH("0",H65)))</formula>
    </cfRule>
  </conditionalFormatting>
  <conditionalFormatting sqref="H1:H1048576">
    <cfRule type="containsText" dxfId="50"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 id="{5C13AFD3-A630-46A0-95B7-BDFB8A5E83D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H39</xm:sqref>
        </x14:conditionalFormatting>
        <x14:conditionalFormatting xmlns:xm="http://schemas.microsoft.com/office/excel/2006/main">
          <x14:cfRule type="iconSet" priority="6" id="{44C2085E-4B36-4C31-A417-CA66B0FD0C8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H65</xm:sqref>
        </x14:conditionalFormatting>
        <x14:conditionalFormatting xmlns:xm="http://schemas.microsoft.com/office/excel/2006/main">
          <x14:cfRule type="iconSet" priority="4" id="{7C426902-0367-45AC-A385-4DC12FC24B6B}">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I17:I21 I67:I70 I72:I74 I57:I60 I53:I55 I50:I51 I44:I45 I41:I42 I34 I32 I30 I23:I25 I15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76"/>
  <sheetViews>
    <sheetView showGridLines="0" zoomScaleNormal="100" workbookViewId="0">
      <selection activeCell="J14" sqref="J14"/>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534"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639"/>
      <c r="K1" s="344"/>
      <c r="L1" s="344"/>
      <c r="M1" s="588"/>
      <c r="N1" s="344"/>
    </row>
    <row r="2" spans="1:16" s="343" customFormat="1" ht="25" customHeight="1" x14ac:dyDescent="0.25">
      <c r="A2" s="332"/>
      <c r="B2" s="589"/>
      <c r="C2" s="590" t="s">
        <v>85</v>
      </c>
      <c r="D2" s="591"/>
      <c r="E2" s="592"/>
      <c r="F2" s="592"/>
      <c r="G2" s="592"/>
      <c r="H2" s="593"/>
      <c r="I2" s="592"/>
      <c r="J2" s="592"/>
      <c r="K2" s="595"/>
      <c r="L2" s="332"/>
      <c r="M2" s="533"/>
      <c r="N2" s="332"/>
      <c r="O2" s="341"/>
      <c r="P2" s="341"/>
    </row>
    <row r="3" spans="1:16" s="598" customFormat="1" ht="25" customHeight="1" x14ac:dyDescent="0.35">
      <c r="A3" s="596"/>
      <c r="B3" s="597"/>
      <c r="C3" s="321" t="str">
        <f>IF(VLOOKUP($C$2,Languages!$A:$D,1,TRUE)=$C$2,VLOOKUP($C$2,Languages!$A:$D,Kybermittari!$C$7,TRUE),NA())</f>
        <v>Kyberturvallisuusohjelma</v>
      </c>
      <c r="D3" s="449"/>
      <c r="E3" s="450"/>
      <c r="G3" s="599"/>
      <c r="H3" s="600"/>
      <c r="I3" s="640"/>
      <c r="J3" s="640"/>
      <c r="K3" s="602"/>
      <c r="L3" s="596"/>
      <c r="M3" s="603"/>
      <c r="N3" s="596"/>
      <c r="O3" s="604"/>
      <c r="P3" s="604"/>
    </row>
    <row r="4" spans="1:16" ht="10" customHeight="1" x14ac:dyDescent="0.25">
      <c r="A4" s="344"/>
      <c r="B4" s="532"/>
      <c r="C4" s="605"/>
      <c r="D4" s="606"/>
      <c r="E4" s="606"/>
      <c r="F4" s="606"/>
      <c r="G4" s="606"/>
      <c r="H4" s="452"/>
      <c r="I4" s="452"/>
      <c r="J4" s="641"/>
      <c r="K4" s="356"/>
      <c r="L4" s="344"/>
      <c r="M4" s="533"/>
      <c r="N4" s="344"/>
    </row>
    <row r="5" spans="1:16" ht="60" customHeight="1" x14ac:dyDescent="0.25">
      <c r="A5" s="344"/>
      <c r="B5" s="532"/>
      <c r="C5" s="758" t="str">
        <f>IF(VLOOKUP(CONCATENATE(C2,"-0"),Languages!$A:$D,1,TRUE)=CONCATENATE(C2,"-0"),VLOOKUP(CONCATENATE(C2,"-0"),Languages!$A:$D,Kybermittari!$C$7,TRUE),NA())</f>
        <v>Kyberturvallisuusohjelman osiossa arvioidaan organisaation kykyä hallita ja ylläpitää organisaationlaajuista kyberturvallisuusohjelmaa. Kyberturvallisuusohjelman tarkoitus on määritellä kyberturvallisuuden hallintamalli ("governance"), kyberturvallisuuden strateginen kehittäminen ja liiketoimintajohdon tuki kyberturvallisuudelle tavalla, joka on suhteessa sekä suojattaviin kohteisiin kohdistuviin riskeihin, että organisaation asettamiin tavoitteisiin nähden.</v>
      </c>
      <c r="D5" s="758"/>
      <c r="E5" s="758"/>
      <c r="F5" s="758"/>
      <c r="G5" s="758"/>
      <c r="H5" s="758"/>
      <c r="I5" s="758"/>
      <c r="J5" s="758"/>
      <c r="K5" s="356"/>
      <c r="L5" s="344"/>
      <c r="M5" s="533"/>
      <c r="N5" s="344"/>
    </row>
    <row r="6" spans="1:16" ht="14.5" x14ac:dyDescent="0.25">
      <c r="A6" s="344"/>
      <c r="B6" s="532"/>
      <c r="C6" s="456">
        <v>1</v>
      </c>
      <c r="D6" s="457" t="s">
        <v>2</v>
      </c>
      <c r="E6" s="458" t="str">
        <f>IF(VLOOKUP(CONCATENATE($C$2,"-",C6),Languages!$A:$D,1,TRUE)=CONCATENATE($C$2,"-",C6),VLOOKUP(CONCATENATE($C$2,"-",C6),Languages!$A:$D,Kybermittari!$C$7,TRUE),NA())</f>
        <v>Kyberturvallisuusstrategia</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Johdon tuki kyberturvallisuusohjelmalle</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Kyberturvallisuus osana jatkuvuussuunnittelua</v>
      </c>
      <c r="F8" s="607"/>
      <c r="G8" s="386"/>
      <c r="H8" s="610"/>
      <c r="I8" s="459" t="str">
        <f ca="1">VLOOKUP(VLOOKUP(CONCATENATE($C$2,"-",$C8),Data!$K:$O,5,FALSE),Parameters!$C$7:$F$10,Kybermittari!$C$7,FALSE)</f>
        <v>Kypsyystaso 0</v>
      </c>
      <c r="J8" s="642"/>
      <c r="K8" s="356"/>
      <c r="L8" s="344"/>
      <c r="M8" s="533"/>
      <c r="N8" s="344"/>
    </row>
    <row r="9" spans="1:16" ht="14.5" x14ac:dyDescent="0.25">
      <c r="A9" s="344"/>
      <c r="B9" s="532"/>
      <c r="C9" s="456">
        <v>4</v>
      </c>
      <c r="D9" s="457" t="s">
        <v>2</v>
      </c>
      <c r="E9" s="458" t="str">
        <f>IF(VLOOKUP(CONCATENATE($C$2,"-",C9),Languages!$A:$D,1,TRUE)=CONCATENATE($C$2,"-",C9),VLOOKUP(CONCATENATE($C$2,"-",C9),Languages!$A:$D,Kybermittari!$C$7,TRUE),NA())</f>
        <v>Yleisiä hallintatoimia</v>
      </c>
      <c r="F9" s="607"/>
      <c r="G9" s="386"/>
      <c r="H9" s="633"/>
      <c r="I9" s="459" t="str">
        <f ca="1">VLOOKUP(VLOOKUP(CONCATENATE($C$2,"-",$C9),Data!$K:$O,5,FALSE),Parameters!$C$7:$F$10,Kybermittari!$C$7,FALSE)</f>
        <v>Kypsyystaso 1</v>
      </c>
      <c r="J9" s="642"/>
      <c r="K9" s="356"/>
      <c r="L9" s="344"/>
      <c r="M9" s="533"/>
      <c r="N9" s="344"/>
    </row>
    <row r="10" spans="1:16" s="343" customFormat="1" ht="30" customHeight="1" x14ac:dyDescent="0.25">
      <c r="A10" s="332"/>
      <c r="B10" s="461"/>
      <c r="C10" s="336">
        <v>1</v>
      </c>
      <c r="D10" s="336" t="str">
        <f>IF(VLOOKUP(CONCATENATE($C$2,"-",C10),Languages!$A:$D,1,TRUE)=CONCATENATE($C$2,"-",C10),VLOOKUP(CONCATENATE($C$2,"-",C10),Languages!$A:$D,Kybermittari!$C$7,TRUE),NA())</f>
        <v>Kyberturvallisuusstrategia</v>
      </c>
      <c r="E10" s="336"/>
      <c r="F10" s="463"/>
      <c r="G10" s="463"/>
      <c r="H10" s="464"/>
      <c r="I10" s="464"/>
      <c r="J10" s="464"/>
      <c r="K10" s="466"/>
      <c r="L10" s="467"/>
      <c r="M10" s="533"/>
      <c r="N10" s="332"/>
      <c r="O10" s="341"/>
      <c r="P10" s="341"/>
    </row>
    <row r="11" spans="1:16" s="475" customFormat="1" ht="60" customHeight="1" x14ac:dyDescent="0.3">
      <c r="A11" s="469"/>
      <c r="B11" s="470"/>
      <c r="C11" s="753" t="str">
        <f>IF(VLOOKUP(CONCATENATE($C$2,"-",$C10,"-0"),Languages!$A:$D,1,TRUE)=CONCATENATE($C$2,"-",$C10,"-0"),VLOOKUP(CONCATENATE($C$2,"-",$C10,"-0"),Languages!$A:$D,Kybermittari!$C$7,TRUE),NA())</f>
        <v>Kyberturvallisuusstrategia toimii kyberturvallisuusohjelman perustana. Yksinkertaisimmassa muodossa, kyberturvallisuusstrategia pitää sisällään listan kyberturvallisuustavoitteista ja suunnitelman niiden saavuttamiseksi. Korkeammalla kypsyystasolla kyberturvallisuusstrategia on täydellisempi ja sisältää prioriteetit, hallintamallin kuvauksen ("governance"), kyberturvallisuusohjelman organisaatiorakenteen ja ylemmän johdon vahvemman osallistumisen ohjelmaan suunnitteluun. Kyberturvallisuusstrategia voi olla oma dokumenttinsa, mutta usein se on kirjattu osaksi organisaation kyberturvallisuuspolitiikkaa.</v>
      </c>
      <c r="D11" s="753"/>
      <c r="E11" s="753"/>
      <c r="F11" s="753"/>
      <c r="G11" s="753"/>
      <c r="H11" s="753"/>
      <c r="I11" s="753"/>
      <c r="J11" s="753"/>
      <c r="K11" s="471"/>
      <c r="L11" s="469"/>
      <c r="M11" s="545"/>
      <c r="N11" s="469"/>
      <c r="O11" s="473"/>
      <c r="P11" s="473"/>
    </row>
    <row r="12" spans="1:16" s="547" customFormat="1" ht="20" customHeight="1" x14ac:dyDescent="0.3">
      <c r="A12" s="483"/>
      <c r="B12" s="476"/>
      <c r="C12" s="477" t="str">
        <f>IF(VLOOKUP("GEN-LEVEL",Languages!$A:$D,1,TRUE)="GEN-LEVEL",VLOOKUP("GEN-LEVEL",Languages!$A:$D,Kybermittari!$C$7,TRUE),NA())</f>
        <v>Taso</v>
      </c>
      <c r="D12" s="477"/>
      <c r="E12" s="478" t="str">
        <f>IF(VLOOKUP("GEN-PRACTICE",Languages!$A:$D,1,TRUE)="GEN-PRACTICE",VLOOKUP("GEN-PRACTICE",Languages!$A:$D,Kybermittari!$C$7,TRUE),NA())</f>
        <v>Käytäntö</v>
      </c>
      <c r="F12" s="479"/>
      <c r="G12" s="480"/>
      <c r="H12" s="481"/>
      <c r="I12" s="478" t="str">
        <f>IF(VLOOKUP("GEN-ANSWER",Languages!$A:$D,1,TRUE)="GEN-ANSWER",VLOOKUP("GEN-ANSWER",Languages!$A:$D,Kybermittari!$C$7,TRUE),NA())</f>
        <v>Vastaus</v>
      </c>
      <c r="J12" s="477" t="str">
        <f>IF(VLOOKUP("GEN-COMMENT",Languages!$A:$D,1,TRUE)="GEN-COMMENT",VLOOKUP("GEN-COMMENT",Languages!$A:$D,Kybermittari!$C$7,TRUE),NA())</f>
        <v>Kommentti ja viittaukset</v>
      </c>
      <c r="K12" s="482"/>
      <c r="L12" s="483"/>
      <c r="M12" s="545"/>
      <c r="N12" s="483"/>
      <c r="O12" s="546"/>
      <c r="P12" s="546"/>
    </row>
    <row r="13" spans="1:16" s="547" customFormat="1" ht="10" customHeight="1" x14ac:dyDescent="0.3">
      <c r="A13" s="483"/>
      <c r="B13" s="476"/>
      <c r="C13" s="487"/>
      <c r="D13" s="487"/>
      <c r="E13" s="488"/>
      <c r="F13" s="489"/>
      <c r="G13" s="490"/>
      <c r="H13" s="491"/>
      <c r="I13" s="488"/>
      <c r="J13" s="487"/>
      <c r="K13" s="482"/>
      <c r="L13" s="483"/>
      <c r="M13" s="545"/>
      <c r="N13" s="483"/>
      <c r="O13" s="546"/>
      <c r="P13" s="546"/>
    </row>
    <row r="14" spans="1:16" s="495" customFormat="1" ht="35" customHeight="1" x14ac:dyDescent="0.3">
      <c r="A14" s="469"/>
      <c r="B14" s="757"/>
      <c r="C14" s="635">
        <v>1</v>
      </c>
      <c r="D14" s="492" t="s">
        <v>7</v>
      </c>
      <c r="E14" s="750" t="str">
        <f>IF(VLOOKUP(CONCATENATE($C$2,"-",$D14),Languages!$A:$D,1,TRUE)=CONCATENATE($C$2,"-",$D14),VLOOKUP(CONCATENATE($C$2,"-",$D14),Languages!$A:$D,Kybermittari!$C$7,TRUE),NA())</f>
        <v>Organisaatiolla on kyberturvallisuusstrategia - vaikka sitä ei välttämättä kehitetä tai hallita systemaattisesti.</v>
      </c>
      <c r="F14" s="750"/>
      <c r="G14" s="750"/>
      <c r="H14" s="493">
        <f t="shared" ref="H14" si="0">IFERROR(INT(LEFT($I14,1)),0)</f>
        <v>0</v>
      </c>
      <c r="I14" s="54"/>
      <c r="J14" s="649"/>
      <c r="K14" s="494"/>
      <c r="L14" s="483"/>
      <c r="M14" s="545"/>
      <c r="N14" s="483"/>
    </row>
    <row r="15" spans="1:16" s="495" customFormat="1" ht="10" customHeight="1" x14ac:dyDescent="0.3">
      <c r="A15" s="469"/>
      <c r="B15" s="757"/>
      <c r="C15" s="498"/>
      <c r="D15" s="499"/>
      <c r="E15" s="501"/>
      <c r="F15" s="501"/>
      <c r="G15" s="501"/>
      <c r="H15" s="499"/>
      <c r="I15" s="502"/>
      <c r="J15" s="643"/>
      <c r="K15" s="494"/>
      <c r="L15" s="483"/>
      <c r="M15" s="545"/>
      <c r="N15" s="483"/>
    </row>
    <row r="16" spans="1:16" s="495" customFormat="1" ht="35" customHeight="1" x14ac:dyDescent="0.3">
      <c r="A16" s="469"/>
      <c r="B16" s="757"/>
      <c r="C16" s="759">
        <v>2</v>
      </c>
      <c r="D16" s="492" t="s">
        <v>9</v>
      </c>
      <c r="E16" s="750" t="str">
        <f>IF(VLOOKUP(CONCATENATE($C$2,"-",$D16),Languages!$A:$D,1,TRUE)=CONCATENATE($C$2,"-",$D16),VLOOKUP(CONCATENATE($C$2,"-",$D16),Languages!$A:$D,Kybermittari!$C$7,TRUE),NA())</f>
        <v>Kyberturvallisuusstrategia määrittelee organisaation kyberturvallisuustavoitteet.</v>
      </c>
      <c r="F16" s="750"/>
      <c r="G16" s="750"/>
      <c r="H16" s="493">
        <f t="shared" ref="H16:H21" si="1">IFERROR(INT(LEFT($I16,1)),0)</f>
        <v>0</v>
      </c>
      <c r="I16" s="54"/>
      <c r="J16" s="649"/>
      <c r="K16" s="494"/>
      <c r="L16" s="469"/>
      <c r="M16" s="545"/>
      <c r="N16" s="469"/>
    </row>
    <row r="17" spans="1:16" s="495" customFormat="1" ht="46.5" customHeight="1" x14ac:dyDescent="0.3">
      <c r="A17" s="469"/>
      <c r="B17" s="757"/>
      <c r="C17" s="760"/>
      <c r="D17" s="492" t="s">
        <v>10</v>
      </c>
      <c r="E17" s="750" t="str">
        <f>IF(VLOOKUP(CONCATENATE($C$2,"-",$D17),Languages!$A:$D,1,TRUE)=CONCATENATE($C$2,"-",$D17),VLOOKUP(CONCATENATE($C$2,"-",$D17),Languages!$A:$D,Kybermittari!$C$7,TRUE),NA())</f>
        <v>Kyberturvallisuusstrategia ja sen prioriteetit on dokumentoitu. Strategia ja prioriteetit heijastavat organisaation yleisiä strategisia tavoitteita ja kriittiseen infrastruktuuriin kohdistuvia riskejä.</v>
      </c>
      <c r="F17" s="750"/>
      <c r="G17" s="750"/>
      <c r="H17" s="493">
        <f t="shared" si="1"/>
        <v>0</v>
      </c>
      <c r="I17" s="54"/>
      <c r="J17" s="649"/>
      <c r="K17" s="494"/>
      <c r="L17" s="469"/>
      <c r="M17" s="545"/>
      <c r="N17" s="469"/>
    </row>
    <row r="18" spans="1:16" s="495" customFormat="1" ht="46" customHeight="1" x14ac:dyDescent="0.3">
      <c r="A18" s="469"/>
      <c r="B18" s="757"/>
      <c r="C18" s="760"/>
      <c r="D18" s="492" t="s">
        <v>11</v>
      </c>
      <c r="E18" s="756" t="str">
        <f>IF(VLOOKUP(CONCATENATE($C$2,"-",$D18),Languages!$A:$D,1,TRUE)=CONCATENATE($C$2,"-",$D18),VLOOKUP(CONCATENATE($C$2,"-",$D18),Languages!$A:$D,Kybermittari!$C$7,TRUE),NA())</f>
        <v>Kyberturvallisuustrategia määrittää organisaation kyberturvallisuusohjelman hallintamallin ("governance") ja valvontatoimet.</v>
      </c>
      <c r="F18" s="756"/>
      <c r="G18" s="756"/>
      <c r="H18" s="493">
        <f t="shared" si="1"/>
        <v>0</v>
      </c>
      <c r="I18" s="54"/>
      <c r="J18" s="649"/>
      <c r="K18" s="494"/>
      <c r="L18" s="549"/>
      <c r="M18" s="545"/>
      <c r="N18" s="549"/>
    </row>
    <row r="19" spans="1:16" s="495" customFormat="1" ht="35" customHeight="1" x14ac:dyDescent="0.3">
      <c r="A19" s="469"/>
      <c r="B19" s="757"/>
      <c r="C19" s="760"/>
      <c r="D19" s="503" t="s">
        <v>12</v>
      </c>
      <c r="E19" s="756" t="str">
        <f>IF(VLOOKUP(CONCATENATE($C$2,"-",$D19),Languages!$A:$D,1,TRUE)=CONCATENATE($C$2,"-",$D19),VLOOKUP(CONCATENATE($C$2,"-",$D19),Languages!$A:$D,Kybermittari!$C$7,TRUE),NA())</f>
        <v>Kyberturvallisuustrategia määrittelee kyberturvallisuusohjelman rakenteen ja organisaation.</v>
      </c>
      <c r="F19" s="756"/>
      <c r="G19" s="756"/>
      <c r="H19" s="493">
        <f t="shared" si="1"/>
        <v>0</v>
      </c>
      <c r="I19" s="54"/>
      <c r="J19" s="648"/>
      <c r="K19" s="504"/>
      <c r="L19" s="469"/>
      <c r="M19" s="545"/>
      <c r="N19" s="469"/>
    </row>
    <row r="20" spans="1:16" s="495" customFormat="1" ht="35" customHeight="1" x14ac:dyDescent="0.3">
      <c r="A20" s="469"/>
      <c r="B20" s="757"/>
      <c r="C20" s="760"/>
      <c r="D20" s="503" t="s">
        <v>13</v>
      </c>
      <c r="E20" s="756" t="str">
        <f>IF(VLOOKUP(CONCATENATE($C$2,"-",$D20),Languages!$A:$D,1,TRUE)=CONCATENATE($C$2,"-",$D20),VLOOKUP(CONCATENATE($C$2,"-",$D20),Languages!$A:$D,Kybermittari!$C$7,TRUE),NA())</f>
        <v>Kyberturvallisuusstrategiassa on tunnistettu standardit ja/tai ohjeet, joita ohjelman tulisi noudattaa.</v>
      </c>
      <c r="F20" s="756"/>
      <c r="G20" s="756"/>
      <c r="H20" s="493">
        <f t="shared" si="1"/>
        <v>0</v>
      </c>
      <c r="I20" s="54"/>
      <c r="J20" s="648"/>
      <c r="K20" s="504"/>
      <c r="L20" s="469"/>
      <c r="M20" s="545"/>
      <c r="N20" s="469"/>
    </row>
    <row r="21" spans="1:16" s="495" customFormat="1" ht="47" customHeight="1" x14ac:dyDescent="0.3">
      <c r="A21" s="469"/>
      <c r="B21" s="613"/>
      <c r="C21" s="761"/>
      <c r="D21" s="503" t="s">
        <v>14</v>
      </c>
      <c r="E21" s="756" t="str">
        <f>IF(VLOOKUP(CONCATENATE($C$2,"-",$D21),Languages!$A:$D,1,TRUE)=CONCATENATE($C$2,"-",$D21),VLOOKUP(CONCATENATE($C$2,"-",$D21),Languages!$A:$D,Kybermittari!$C$7,TRUE),NA())</f>
        <v>Kyberturvallisuusstrategiassa on tunnistettu kaikki olennaiset vaatimustenmukaisuusvaatimukset ("compliance requirements"), jotka ohjelman tulee toteuttaa.</v>
      </c>
      <c r="F21" s="756"/>
      <c r="G21" s="756"/>
      <c r="H21" s="493">
        <f t="shared" si="1"/>
        <v>0</v>
      </c>
      <c r="I21" s="54"/>
      <c r="J21" s="648"/>
      <c r="K21" s="504"/>
      <c r="L21" s="524"/>
      <c r="M21" s="545"/>
      <c r="N21" s="524"/>
    </row>
    <row r="22" spans="1:16" s="495" customFormat="1" ht="10" customHeight="1" x14ac:dyDescent="0.3">
      <c r="A22" s="469"/>
      <c r="B22" s="613"/>
      <c r="C22" s="498"/>
      <c r="D22" s="614"/>
      <c r="E22" s="615"/>
      <c r="F22" s="615"/>
      <c r="G22" s="615"/>
      <c r="H22" s="499"/>
      <c r="I22" s="502"/>
      <c r="J22" s="644"/>
      <c r="K22" s="504"/>
      <c r="L22" s="524"/>
      <c r="M22" s="545"/>
      <c r="N22" s="524"/>
    </row>
    <row r="23" spans="1:16" s="495" customFormat="1" ht="47" customHeight="1" x14ac:dyDescent="0.3">
      <c r="A23" s="469"/>
      <c r="B23" s="616"/>
      <c r="C23" s="617">
        <v>3</v>
      </c>
      <c r="D23" s="503" t="s">
        <v>15</v>
      </c>
      <c r="E23" s="756" t="str">
        <f>IF(VLOOKUP(CONCATENATE($C$2,"-",$D23),Languages!$A:$D,1,TRUE)=CONCATENATE($C$2,"-",$D23),VLOOKUP(CONCATENATE($C$2,"-",$D23),Languages!$A:$D,Kybermittari!$C$7,TRUE),NA())</f>
        <v>Kyberturvallisuusstrategia päivitetään vastaamaan liiketoiminnassa, toimintaympäristössä tai uhkaprofiilissa [kts. THREAT-1d] tapahtuvia muutoksia.</v>
      </c>
      <c r="F23" s="756"/>
      <c r="G23" s="756"/>
      <c r="H23" s="493">
        <f>IFERROR(INT(LEFT($I23,1)),0)</f>
        <v>0</v>
      </c>
      <c r="I23" s="54"/>
      <c r="J23" s="648"/>
      <c r="K23" s="504"/>
      <c r="L23" s="524"/>
      <c r="M23" s="545"/>
      <c r="N23" s="524"/>
    </row>
    <row r="24" spans="1:16" s="343" customFormat="1" ht="30" customHeight="1" thickBot="1" x14ac:dyDescent="0.3">
      <c r="A24" s="332"/>
      <c r="B24" s="461"/>
      <c r="C24" s="645">
        <v>2</v>
      </c>
      <c r="D24" s="645" t="str">
        <f>IF(VLOOKUP(CONCATENATE($C$2,"-",C24),Languages!$A:$D,1,TRUE)=CONCATENATE($C$2,"-",C24),VLOOKUP(CONCATENATE($C$2,"-",C24),Languages!$A:$D,Kybermittari!$C$7,TRUE),NA())</f>
        <v>Johdon tuki kyberturvallisuusohjelmalle</v>
      </c>
      <c r="E24" s="645"/>
      <c r="F24" s="646"/>
      <c r="G24" s="646"/>
      <c r="H24" s="646"/>
      <c r="I24" s="646" t="s">
        <v>19</v>
      </c>
      <c r="J24" s="646"/>
      <c r="K24" s="339"/>
      <c r="L24" s="347"/>
      <c r="M24" s="533"/>
      <c r="N24" s="347"/>
      <c r="O24" s="341"/>
      <c r="P24" s="341"/>
    </row>
    <row r="25" spans="1:16" s="475" customFormat="1" ht="59.5" customHeight="1" x14ac:dyDescent="0.3">
      <c r="A25" s="469"/>
      <c r="B25" s="470"/>
      <c r="C25" s="753" t="str">
        <f>IF(VLOOKUP(CONCATENATE($C$2,"-",$C24,"-0"),Languages!$A:$D,1,TRUE)=CONCATENATE($C$2,"-",$C24,"-0"),VLOOKUP(CONCATENATE($C$2,"-",$C24,"-0"),Languages!$A:$D,Kybermittari!$C$7,TRUE),NA())</f>
        <v>Johdon tuki on tärkeää kyberturvallisuusohjelman jalkauttamiselle kyberturvallisuusstrategian mukaisesti. Perustasolla tuki sisältää riittävien resurssien turvaamisen (henkilöt, työkalut ja rahoitus). Kehittyneemmässä organisaatiossa tuki pitää sisällään ylimmän johdon näkyvän osallistumisen sekä vastuiden määrittelyn ja valtuutukset kyberturvallisuusohjelmalle. Lisäksi tuki kattaa organisatorisen tuen, jota vaaditaan poliitikkojen tai vastaavien ohjeistusten määrittämiseksi ja ylläpitämiseksi.</v>
      </c>
      <c r="D25" s="753"/>
      <c r="E25" s="753"/>
      <c r="F25" s="753"/>
      <c r="G25" s="753"/>
      <c r="H25" s="753"/>
      <c r="I25" s="753"/>
      <c r="J25" s="753"/>
      <c r="K25" s="471"/>
      <c r="L25" s="524"/>
      <c r="M25" s="545"/>
      <c r="N25" s="524"/>
      <c r="O25" s="473"/>
      <c r="P25" s="473"/>
    </row>
    <row r="26" spans="1:16" s="547" customFormat="1" ht="20" customHeight="1" x14ac:dyDescent="0.3">
      <c r="A26" s="483"/>
      <c r="B26" s="476"/>
      <c r="C26" s="477" t="str">
        <f>IF(VLOOKUP("GEN-LEVEL",Languages!$A:$D,1,TRUE)="GEN-LEVEL",VLOOKUP("GEN-LEVEL",Languages!$A:$D,Kybermittari!$C$7,TRUE),NA())</f>
        <v>Taso</v>
      </c>
      <c r="D26" s="477"/>
      <c r="E26" s="478" t="str">
        <f>IF(VLOOKUP("GEN-PRACTICE",Languages!$A:$D,1,TRUE)="GEN-PRACTICE",VLOOKUP("GEN-PRACTICE",Languages!$A:$D,Kybermittari!$C$7,TRUE),NA())</f>
        <v>Käytäntö</v>
      </c>
      <c r="F26" s="479"/>
      <c r="G26" s="480"/>
      <c r="H26" s="481"/>
      <c r="I26" s="478" t="str">
        <f>IF(VLOOKUP("GEN-ANSWER",Languages!$A:$D,1,TRUE)="GEN-ANSWER",VLOOKUP("GEN-ANSWER",Languages!$A:$D,Kybermittari!$C$7,TRUE),NA())</f>
        <v>Vastaus</v>
      </c>
      <c r="J26" s="477" t="str">
        <f>IF(VLOOKUP("GEN-COMMENT",Languages!$A:$D,1,TRUE)="GEN-COMMENT",VLOOKUP("GEN-COMMENT",Languages!$A:$D,Kybermittari!$C$7,TRUE),NA())</f>
        <v>Kommentti ja viittaukset</v>
      </c>
      <c r="K26" s="482"/>
      <c r="L26" s="524"/>
      <c r="M26" s="545"/>
      <c r="N26" s="524"/>
      <c r="O26" s="546"/>
      <c r="P26" s="546"/>
    </row>
    <row r="27" spans="1:16" s="547" customFormat="1" ht="10" customHeight="1" x14ac:dyDescent="0.3">
      <c r="A27" s="483"/>
      <c r="B27" s="476"/>
      <c r="C27" s="487"/>
      <c r="D27" s="487"/>
      <c r="E27" s="488"/>
      <c r="F27" s="489"/>
      <c r="G27" s="490"/>
      <c r="H27" s="491"/>
      <c r="I27" s="488"/>
      <c r="J27" s="487"/>
      <c r="K27" s="482"/>
      <c r="L27" s="524"/>
      <c r="M27" s="545"/>
      <c r="N27" s="524"/>
      <c r="O27" s="546"/>
      <c r="P27" s="546"/>
    </row>
    <row r="28" spans="1:16" s="510" customFormat="1" ht="47" customHeight="1" x14ac:dyDescent="0.3">
      <c r="A28" s="524"/>
      <c r="B28" s="749"/>
      <c r="C28" s="765">
        <v>1</v>
      </c>
      <c r="D28" s="508" t="s">
        <v>20</v>
      </c>
      <c r="E28" s="750" t="str">
        <f>IF(VLOOKUP(CONCATENATE($C$2,"-",$D28),Languages!$A:$D,1,TRUE)=CONCATENATE($C$2,"-",$D28),VLOOKUP(CONCATENATE($C$2,"-",$D28),Languages!$A:$D,Kybermittari!$C$7,TRUE),NA())</f>
        <v>Organisaatio on osoittanut resurssit (henkilöt, rahoitus ja työkalut), joilla perustaa kyberturvallisuuden kehitysohjelma - vaikka ei välttämättä systemaattisesti ja kaiken kattavasti.</v>
      </c>
      <c r="F28" s="750"/>
      <c r="G28" s="750"/>
      <c r="H28" s="493">
        <f>IFERROR(INT(LEFT($I28,1)),0)</f>
        <v>0</v>
      </c>
      <c r="I28" s="54"/>
      <c r="J28" s="649"/>
      <c r="K28" s="509"/>
      <c r="L28" s="524"/>
      <c r="M28" s="545"/>
      <c r="N28" s="524"/>
      <c r="O28" s="495"/>
      <c r="P28" s="495"/>
    </row>
    <row r="29" spans="1:16" s="510" customFormat="1" ht="47.5" customHeight="1" x14ac:dyDescent="0.3">
      <c r="A29" s="524"/>
      <c r="B29" s="749"/>
      <c r="C29" s="767"/>
      <c r="D29" s="508" t="s">
        <v>21</v>
      </c>
      <c r="E29" s="750" t="str">
        <f>IF(VLOOKUP(CONCATENATE($C$2,"-",$D29),Languages!$A:$D,1,TRUE)=CONCATENATE($C$2,"-",$D29),VLOOKUP(CONCATENATE($C$2,"-",$D29),Languages!$A:$D,Kybermittari!$C$7,TRUE),NA())</f>
        <v>Organisaation ylin johto (jäsenet, joilla on sopivat toimivaltuudet) tukee kyberturvallisuuden kehitysohjelmaa - vaikka ei välttämättä systemaattisesti ja kaiken kattavasti.</v>
      </c>
      <c r="F29" s="750"/>
      <c r="G29" s="750"/>
      <c r="H29" s="493">
        <f>IFERROR(INT(LEFT($I29,1)),0)</f>
        <v>0</v>
      </c>
      <c r="I29" s="54"/>
      <c r="J29" s="648"/>
      <c r="K29" s="509"/>
      <c r="L29" s="524"/>
      <c r="M29" s="545"/>
      <c r="N29" s="524"/>
      <c r="O29" s="495"/>
      <c r="P29" s="495"/>
    </row>
    <row r="30" spans="1:16" s="510" customFormat="1" ht="10" customHeight="1" x14ac:dyDescent="0.3">
      <c r="A30" s="524"/>
      <c r="B30" s="511"/>
      <c r="C30" s="565"/>
      <c r="D30" s="513"/>
      <c r="E30" s="501"/>
      <c r="F30" s="501"/>
      <c r="G30" s="501"/>
      <c r="H30" s="499"/>
      <c r="I30" s="502"/>
      <c r="J30" s="644"/>
      <c r="K30" s="509"/>
      <c r="L30" s="524"/>
      <c r="M30" s="545"/>
      <c r="N30" s="524"/>
      <c r="O30" s="495"/>
      <c r="P30" s="495"/>
    </row>
    <row r="31" spans="1:16" s="510" customFormat="1" ht="35" customHeight="1" x14ac:dyDescent="0.3">
      <c r="A31" s="524"/>
      <c r="B31" s="749"/>
      <c r="C31" s="765">
        <v>2</v>
      </c>
      <c r="D31" s="508" t="s">
        <v>22</v>
      </c>
      <c r="E31" s="750" t="str">
        <f>IF(VLOOKUP(CONCATENATE($C$2,"-",$D31),Languages!$A:$D,1,TRUE)=CONCATENATE($C$2,"-",$D31),VLOOKUP(CONCATENATE($C$2,"-",$D31),Languages!$A:$D,Kybermittari!$C$7,TRUE),NA())</f>
        <v>Kyberturvallisuuden kehitysohjelma on perustettu kyberturvallisuusstrategian mukaisesti.</v>
      </c>
      <c r="F31" s="750"/>
      <c r="G31" s="750"/>
      <c r="H31" s="493">
        <f t="shared" ref="H31:H36" si="2">IFERROR(INT(LEFT($I31,1)),0)</f>
        <v>0</v>
      </c>
      <c r="I31" s="54"/>
      <c r="J31" s="648"/>
      <c r="K31" s="509"/>
      <c r="L31" s="618"/>
      <c r="M31" s="545"/>
      <c r="N31" s="618"/>
      <c r="O31" s="495"/>
      <c r="P31" s="495"/>
    </row>
    <row r="32" spans="1:16" s="510" customFormat="1" ht="47" customHeight="1" x14ac:dyDescent="0.3">
      <c r="A32" s="524"/>
      <c r="B32" s="749"/>
      <c r="C32" s="766"/>
      <c r="D32" s="508" t="s">
        <v>23</v>
      </c>
      <c r="E32" s="750" t="str">
        <f>IF(VLOOKUP(CONCATENATE($C$2,"-",$D32),Languages!$A:$D,1,TRUE)=CONCATENATE($C$2,"-",$D32),VLOOKUP(CONCATENATE($C$2,"-",$D32),Languages!$A:$D,Kybermittari!$C$7,TRUE),NA())</f>
        <v>Organisaatio on osoittanut riittävät resurssit (henkilöt, rahoitus ja työkalut), jotta kyberturvallisuuden kehitysohjelma voi toimia annetun strategian mukaisesti.</v>
      </c>
      <c r="F32" s="750"/>
      <c r="G32" s="750"/>
      <c r="H32" s="493">
        <f t="shared" si="2"/>
        <v>0</v>
      </c>
      <c r="I32" s="54"/>
      <c r="J32" s="648"/>
      <c r="K32" s="509"/>
      <c r="L32" s="524"/>
      <c r="M32" s="545"/>
      <c r="N32" s="524"/>
      <c r="O32" s="495"/>
      <c r="P32" s="495"/>
    </row>
    <row r="33" spans="1:16" s="510" customFormat="1" ht="58" customHeight="1" x14ac:dyDescent="0.3">
      <c r="A33" s="524"/>
      <c r="B33" s="749"/>
      <c r="C33" s="766"/>
      <c r="D33" s="508" t="s">
        <v>24</v>
      </c>
      <c r="E33" s="750" t="str">
        <f>IF(VLOOKUP(CONCATENATE($C$2,"-",$D33),Languages!$A:$D,1,TRUE)=CONCATENATE($C$2,"-",$D33),VLOOKUP(CONCATENATE($C$2,"-",$D33),Languages!$A:$D,Kybermittari!$C$7,TRUE),NA())</f>
        <v>Organisaation ylimmän johdon tuki kyberturvallisuuden kehitysohjelmalle on näkyvää ja aktiivista (esim. ylin johto tuo säännöllisesti esille kyberturvallisuuden tärkeyden organisaatiolle).</v>
      </c>
      <c r="F33" s="750"/>
      <c r="G33" s="750"/>
      <c r="H33" s="493">
        <f t="shared" si="2"/>
        <v>0</v>
      </c>
      <c r="I33" s="54"/>
      <c r="J33" s="648"/>
      <c r="K33" s="509"/>
      <c r="L33" s="483"/>
      <c r="M33" s="545"/>
      <c r="N33" s="523"/>
      <c r="O33" s="495"/>
      <c r="P33" s="495"/>
    </row>
    <row r="34" spans="1:16" s="510" customFormat="1" ht="35" customHeight="1" x14ac:dyDescent="0.3">
      <c r="A34" s="524"/>
      <c r="B34" s="749"/>
      <c r="C34" s="766"/>
      <c r="D34" s="508" t="s">
        <v>112</v>
      </c>
      <c r="E34" s="750" t="str">
        <f>IF(VLOOKUP(CONCATENATE($C$2,"-",$D34),Languages!$A:$D,1,TRUE)=CONCATENATE($C$2,"-",$D34),VLOOKUP(CONCATENATE($C$2,"-",$D34),Languages!$A:$D,Kybermittari!$C$7,TRUE),NA())</f>
        <v>Organisaation ylin johto tukee kyberturvallisuuspolitiikan -ja ohjeiden kehitystä, ylläpitoa ja täytäntöönpanoa.</v>
      </c>
      <c r="F34" s="750"/>
      <c r="G34" s="750"/>
      <c r="H34" s="493">
        <f t="shared" si="2"/>
        <v>0</v>
      </c>
      <c r="I34" s="54"/>
      <c r="J34" s="648"/>
      <c r="K34" s="509"/>
      <c r="L34" s="483"/>
      <c r="M34" s="545"/>
      <c r="N34" s="523"/>
      <c r="O34" s="495"/>
      <c r="P34" s="495"/>
    </row>
    <row r="35" spans="1:16" s="510" customFormat="1" ht="35" customHeight="1" x14ac:dyDescent="0.3">
      <c r="A35" s="524"/>
      <c r="B35" s="749"/>
      <c r="C35" s="766"/>
      <c r="D35" s="508" t="s">
        <v>176</v>
      </c>
      <c r="E35" s="750" t="str">
        <f>IF(VLOOKUP(CONCATENATE($C$2,"-",$D35),Languages!$A:$D,1,TRUE)=CONCATENATE($C$2,"-",$D35),VLOOKUP(CONCATENATE($C$2,"-",$D35),Languages!$A:$D,Kybermittari!$C$7,TRUE),NA())</f>
        <v>Vastuu kyberturvallisuuden hallintaohjelmasta on osoitettu organisaatiossa taholle/roolille, jolla on riittävät toimivaltuudet.</v>
      </c>
      <c r="F35" s="750"/>
      <c r="G35" s="750"/>
      <c r="H35" s="493">
        <f t="shared" si="2"/>
        <v>0</v>
      </c>
      <c r="I35" s="54"/>
      <c r="J35" s="648"/>
      <c r="K35" s="509"/>
      <c r="L35" s="483"/>
      <c r="M35" s="545"/>
      <c r="N35" s="523"/>
      <c r="O35" s="495"/>
      <c r="P35" s="495"/>
    </row>
    <row r="36" spans="1:16" s="510" customFormat="1" ht="35" customHeight="1" x14ac:dyDescent="0.3">
      <c r="A36" s="524"/>
      <c r="B36" s="749"/>
      <c r="C36" s="767"/>
      <c r="D36" s="508" t="s">
        <v>178</v>
      </c>
      <c r="E36" s="750" t="str">
        <f>IF(VLOOKUP(CONCATENATE($C$2,"-",$D36),Languages!$A:$D,1,TRUE)=CONCATENATE($C$2,"-",$D36),VLOOKUP(CONCATENATE($C$2,"-",$D36),Languages!$A:$D,Kybermittari!$C$7,TRUE),NA())</f>
        <v>Kyberturvallisuuden kehitysohjelmaan liittyvät sidosryhmät tunnistetaan ja osallistetaan.</v>
      </c>
      <c r="F36" s="750"/>
      <c r="G36" s="750"/>
      <c r="H36" s="493">
        <f t="shared" si="2"/>
        <v>0</v>
      </c>
      <c r="I36" s="54"/>
      <c r="J36" s="648"/>
      <c r="K36" s="509"/>
      <c r="L36" s="483"/>
      <c r="M36" s="545"/>
      <c r="N36" s="523"/>
      <c r="O36" s="495"/>
      <c r="P36" s="495"/>
    </row>
    <row r="37" spans="1:16" s="510" customFormat="1" ht="10" customHeight="1" x14ac:dyDescent="0.3">
      <c r="A37" s="524"/>
      <c r="B37" s="749"/>
      <c r="C37" s="565"/>
      <c r="D37" s="513"/>
      <c r="E37" s="501"/>
      <c r="F37" s="501"/>
      <c r="G37" s="501"/>
      <c r="H37" s="499"/>
      <c r="I37" s="502"/>
      <c r="J37" s="644"/>
      <c r="K37" s="509"/>
      <c r="L37" s="483"/>
      <c r="M37" s="545"/>
      <c r="N37" s="523"/>
      <c r="O37" s="495"/>
      <c r="P37" s="495"/>
    </row>
    <row r="38" spans="1:16" s="510" customFormat="1" ht="46.5" customHeight="1" x14ac:dyDescent="0.3">
      <c r="A38" s="524"/>
      <c r="B38" s="749"/>
      <c r="C38" s="765">
        <v>3</v>
      </c>
      <c r="D38" s="508" t="s">
        <v>209</v>
      </c>
      <c r="E38" s="750" t="str">
        <f>IF(VLOOKUP(CONCATENATE($C$2,"-",$D38),Languages!$A:$D,1,TRUE)=CONCATENATE($C$2,"-",$D38),VLOOKUP(CONCATENATE($C$2,"-",$D38),Languages!$A:$D,Kybermittari!$C$7,TRUE),NA())</f>
        <v>Kyberturvallisuuden kehitysohjelman suorituskykyä mitataan, jotta varmistetaan että se on kyberturvallisuusstrategian mukainen.</v>
      </c>
      <c r="F38" s="750"/>
      <c r="G38" s="750"/>
      <c r="H38" s="493">
        <f>IFERROR(INT(LEFT($I38,1)),0)</f>
        <v>0</v>
      </c>
      <c r="I38" s="54"/>
      <c r="J38" s="648"/>
      <c r="K38" s="509"/>
      <c r="L38" s="524"/>
      <c r="M38" s="545"/>
      <c r="N38" s="524"/>
      <c r="O38" s="495"/>
      <c r="P38" s="495"/>
    </row>
    <row r="39" spans="1:16" s="510" customFormat="1" ht="75" customHeight="1" x14ac:dyDescent="0.3">
      <c r="A39" s="524"/>
      <c r="B39" s="749"/>
      <c r="C39" s="766"/>
      <c r="D39" s="508" t="s">
        <v>211</v>
      </c>
      <c r="E39" s="750" t="str">
        <f>IF(VLOOKUP(CONCATENATE($C$2,"-",$D39),Languages!$A:$D,1,TRUE)=CONCATENATE($C$2,"-",$D39),VLOOKUP(CONCATENATE($C$2,"-",$D39),Languages!$A:$D,Kybermittari!$C$7,TRUE),NA())</f>
        <v>Riippumaton taho arvioi, kuinka kyberturvallisuuden toimenpiteet noudattavat organisaation kyberturvallisuuspolitiikkaa-, -ohjeita ja -prosesseja. Tällaisia riippumattomia tahoja voi olla esim. kehitysohjelman ulkopuoliset ja suoraan organisaation hallituksen tai vastaavan hallintoelimen ohjauksessa olevat arvioijat.</v>
      </c>
      <c r="F39" s="750"/>
      <c r="G39" s="750"/>
      <c r="H39" s="493">
        <f>IFERROR(INT(LEFT($I39,1)),0)</f>
        <v>0</v>
      </c>
      <c r="I39" s="54"/>
      <c r="J39" s="648"/>
      <c r="K39" s="509"/>
      <c r="L39" s="524"/>
      <c r="M39" s="545"/>
      <c r="N39" s="524"/>
      <c r="O39" s="495"/>
      <c r="P39" s="495"/>
    </row>
    <row r="40" spans="1:16" s="510" customFormat="1" ht="38" customHeight="1" x14ac:dyDescent="0.3">
      <c r="A40" s="524"/>
      <c r="B40" s="749"/>
      <c r="C40" s="766"/>
      <c r="D40" s="508" t="s">
        <v>213</v>
      </c>
      <c r="E40" s="750" t="str">
        <f>IF(VLOOKUP(CONCATENATE($C$2,"-",$D40),Languages!$A:$D,1,TRUE)=CONCATENATE($C$2,"-",$D40),VLOOKUP(CONCATENATE($C$2,"-",$D40),Languages!$A:$D,Kybermittari!$C$7,TRUE),NA())</f>
        <v>Kyberturvallisuuden kehitysohjelma huomioi ja mahdollistaa sääntelyvaatimusten noudattamisen ("regulatory compliance").</v>
      </c>
      <c r="F40" s="750"/>
      <c r="G40" s="750"/>
      <c r="H40" s="493">
        <f>IFERROR(INT(LEFT($I40,1)),0)</f>
        <v>0</v>
      </c>
      <c r="I40" s="54"/>
      <c r="J40" s="648"/>
      <c r="K40" s="509"/>
      <c r="L40" s="524"/>
      <c r="M40" s="545"/>
      <c r="N40" s="524"/>
      <c r="O40" s="495"/>
      <c r="P40" s="495"/>
    </row>
    <row r="41" spans="1:16" s="510" customFormat="1" ht="60" customHeight="1" x14ac:dyDescent="0.3">
      <c r="A41" s="524"/>
      <c r="B41" s="749"/>
      <c r="C41" s="767"/>
      <c r="D41" s="508" t="s">
        <v>215</v>
      </c>
      <c r="E41" s="750" t="str">
        <f>IF(VLOOKUP(CONCATENATE($C$2,"-",$D41),Languages!$A:$D,1,TRUE)=CONCATENATE($C$2,"-",$D41),VLOOKUP(CONCATENATE($C$2,"-",$D41),Languages!$A:$D,Kybermittari!$C$7,TRUE),NA())</f>
        <v>Organisaatio tekee yhteistyötä organisaation ulkopuolisten toimijoiden ja järjestöjen kanssa tukeakseen osaltaan kyberturvallisuusstandardien, ohjeistuksien, johtavien käytäntöjen, opittujen kokemusten sekä kehittyvien teknologioiden kehittämistä ja täytäntöönpanoa.</v>
      </c>
      <c r="F41" s="750"/>
      <c r="G41" s="750"/>
      <c r="H41" s="493">
        <f>IFERROR(INT(LEFT($I41,1)),0)</f>
        <v>0</v>
      </c>
      <c r="I41" s="54"/>
      <c r="J41" s="648"/>
      <c r="K41" s="509"/>
      <c r="L41" s="524"/>
      <c r="M41" s="545"/>
      <c r="N41" s="524"/>
      <c r="O41" s="495"/>
      <c r="P41" s="495"/>
    </row>
    <row r="42" spans="1:16" s="343" customFormat="1" ht="30" customHeight="1" x14ac:dyDescent="0.25">
      <c r="A42" s="332"/>
      <c r="B42" s="461"/>
      <c r="C42" s="336">
        <v>3</v>
      </c>
      <c r="D42" s="336" t="str">
        <f>IF(VLOOKUP(CONCATENATE($C$2,"-",C42),Languages!$A:$D,1,TRUE)=CONCATENATE($C$2,"-",C42),VLOOKUP(CONCATENATE($C$2,"-",C42),Languages!$A:$D,Kybermittari!$C$7,TRUE),NA())</f>
        <v>Kyberturvallisuus osana jatkuvuussuunnittelua</v>
      </c>
      <c r="E42" s="336"/>
      <c r="F42" s="506"/>
      <c r="G42" s="506"/>
      <c r="H42" s="506"/>
      <c r="I42" s="506" t="s">
        <v>19</v>
      </c>
      <c r="J42" s="506"/>
      <c r="K42" s="339"/>
      <c r="L42" s="347"/>
      <c r="M42" s="533"/>
      <c r="N42" s="347"/>
      <c r="O42" s="341"/>
      <c r="P42" s="341"/>
    </row>
    <row r="43" spans="1:16" s="510" customFormat="1" ht="65" customHeight="1" x14ac:dyDescent="0.3">
      <c r="A43" s="524"/>
      <c r="B43" s="511"/>
      <c r="C43" s="753" t="str">
        <f>IF(VLOOKUP(CONCATENATE($C$2,"-",$C42,"-0"),Languages!$A:$D,1,TRUE)=CONCATENATE($C$2,"-",$C42,"-0"),VLOOKUP(CONCATENATE($C$2,"-",$C42,"-0"),Languages!$A:$D,Kybermittari!$C$7,TRUE),NA())</f>
        <v>Kyberturvallisuusstrategian ja toiminnan jatkuvuuteen liittyvien suunnitelmien tulisi sopia keskenään yhteen. Näiden yhteensovittaminen on tärkeää jatkuvuussuunnitelmien ylläpitämiseksi ja toimintojen palauttamiseksi kybertapahtumien yhteydessä. Potentiaalisten kyberhäiriöiden huomioiminen jatkuvuussuunnitelmissa edellyttää tunnettujen kyberuhkien ja kyberriskiluokkien huomioimista. Jatkuvuussuunnitelmien testaamisessa tulisi ottaa huomioon kyberhäiriöt, jotta voidaan varmistua suunnitelmien toimivuudesta kyseisten häiriöiden yhteydessä.</v>
      </c>
      <c r="D43" s="753"/>
      <c r="E43" s="753"/>
      <c r="F43" s="753"/>
      <c r="G43" s="753"/>
      <c r="H43" s="753"/>
      <c r="I43" s="753"/>
      <c r="J43" s="753"/>
      <c r="K43" s="509"/>
      <c r="L43" s="524"/>
      <c r="M43" s="545"/>
      <c r="N43" s="524"/>
      <c r="O43" s="495"/>
      <c r="P43" s="495"/>
    </row>
    <row r="44" spans="1:16" s="547" customFormat="1" ht="20" customHeight="1" x14ac:dyDescent="0.3">
      <c r="A44" s="483"/>
      <c r="B44" s="476"/>
      <c r="C44" s="477" t="str">
        <f>IF(VLOOKUP("GEN-LEVEL",Languages!$A:$D,1,TRUE)="GEN-LEVEL",VLOOKUP("GEN-LEVEL",Languages!$A:$D,Kybermittari!$C$7,TRUE),NA())</f>
        <v>Taso</v>
      </c>
      <c r="D44" s="477"/>
      <c r="E44" s="478" t="str">
        <f>IF(VLOOKUP("GEN-PRACTICE",Languages!$A:$D,1,TRUE)="GEN-PRACTICE",VLOOKUP("GEN-PRACTICE",Languages!$A:$D,Kybermittari!$C$7,TRUE),NA())</f>
        <v>Käytäntö</v>
      </c>
      <c r="F44" s="479"/>
      <c r="G44" s="480"/>
      <c r="H44" s="481"/>
      <c r="I44" s="478" t="str">
        <f>IF(VLOOKUP("GEN-ANSWER",Languages!$A:$D,1,TRUE)="GEN-ANSWER",VLOOKUP("GEN-ANSWER",Languages!$A:$D,Kybermittari!$C$7,TRUE),NA())</f>
        <v>Vastaus</v>
      </c>
      <c r="J44" s="477" t="str">
        <f>IF(VLOOKUP("GEN-COMMENT",Languages!$A:$D,1,TRUE)="GEN-COMMENT",VLOOKUP("GEN-COMMENT",Languages!$A:$D,Kybermittari!$C$7,TRUE),NA())</f>
        <v>Kommentti ja viittaukset</v>
      </c>
      <c r="K44" s="482"/>
      <c r="L44" s="618"/>
      <c r="M44" s="545"/>
      <c r="N44" s="618"/>
      <c r="O44" s="546"/>
      <c r="P44" s="546"/>
    </row>
    <row r="45" spans="1:16" s="547" customFormat="1" ht="10" customHeight="1" x14ac:dyDescent="0.3">
      <c r="A45" s="483"/>
      <c r="B45" s="476"/>
      <c r="C45" s="487"/>
      <c r="D45" s="487"/>
      <c r="E45" s="488"/>
      <c r="F45" s="489"/>
      <c r="G45" s="490"/>
      <c r="H45" s="491"/>
      <c r="I45" s="488"/>
      <c r="J45" s="487"/>
      <c r="K45" s="482"/>
      <c r="L45" s="618"/>
      <c r="M45" s="545"/>
      <c r="N45" s="618"/>
      <c r="O45" s="546"/>
      <c r="P45" s="546"/>
    </row>
    <row r="46" spans="1:16" s="510" customFormat="1" ht="47" customHeight="1" x14ac:dyDescent="0.3">
      <c r="A46" s="524"/>
      <c r="B46" s="511"/>
      <c r="C46" s="768">
        <v>1</v>
      </c>
      <c r="D46" s="508" t="s">
        <v>25</v>
      </c>
      <c r="E46" s="750" t="str">
        <f>IF(VLOOKUP(CONCATENATE($C$2,"-",$D46),Languages!$A:$D,1,TRUE)=CONCATENATE($C$2,"-",$D46),VLOOKUP(CONCATENATE($C$2,"-",$D46),Languages!$A:$D,Kybermittari!$C$7,TRUE),NA())</f>
        <v>Jatkuvuussuunnitelmia on kehitetty kybertapahtumien ja -häiriöiden varalle toiminnan jatkuvuuden ja palautumisen turvaamiseksi - vaikka ei välttämättä systemaattisesti ja kaiken kattavasti.</v>
      </c>
      <c r="F46" s="750"/>
      <c r="G46" s="750"/>
      <c r="H46" s="493">
        <f>IFERROR(INT(LEFT($I46,1)),0)</f>
        <v>0</v>
      </c>
      <c r="I46" s="54"/>
      <c r="J46" s="648"/>
      <c r="K46" s="509"/>
      <c r="L46" s="524"/>
      <c r="M46" s="545"/>
      <c r="N46" s="524"/>
      <c r="O46" s="495"/>
      <c r="P46" s="495"/>
    </row>
    <row r="47" spans="1:16" s="510" customFormat="1" ht="47" customHeight="1" x14ac:dyDescent="0.3">
      <c r="A47" s="524"/>
      <c r="B47" s="511"/>
      <c r="C47" s="768"/>
      <c r="D47" s="508" t="s">
        <v>26</v>
      </c>
      <c r="E47" s="750" t="str">
        <f>IF(VLOOKUP(CONCATENATE($C$2,"-",$D47),Languages!$A:$D,1,TRUE)=CONCATENATE($C$2,"-",$D47),VLOOKUP(CONCATENATE($C$2,"-",$D47),Languages!$A:$D,Kybermittari!$C$7,TRUE),NA())</f>
        <v>Organisaation IT- ja OT-omaisuudesta ja tietovarannoista on saatavilla varmuuskopiot ja varmuuskopioita testataan - vaikka ei välttämättä systemaattisesti ja kaiken kattavasti.</v>
      </c>
      <c r="F47" s="750"/>
      <c r="G47" s="750"/>
      <c r="H47" s="493">
        <f>IFERROR(INT(LEFT($I47,1)),0)</f>
        <v>0</v>
      </c>
      <c r="I47" s="54"/>
      <c r="J47" s="648"/>
      <c r="K47" s="509"/>
      <c r="L47" s="483"/>
      <c r="M47" s="545"/>
      <c r="N47" s="523"/>
      <c r="O47" s="495"/>
      <c r="P47" s="495"/>
    </row>
    <row r="48" spans="1:16" s="510" customFormat="1" ht="10" customHeight="1" x14ac:dyDescent="0.3">
      <c r="A48" s="524"/>
      <c r="B48" s="511"/>
      <c r="C48" s="565"/>
      <c r="D48" s="513"/>
      <c r="E48" s="501"/>
      <c r="F48" s="501"/>
      <c r="G48" s="501"/>
      <c r="H48" s="499"/>
      <c r="I48" s="502"/>
      <c r="J48" s="644"/>
      <c r="K48" s="509"/>
      <c r="L48" s="483"/>
      <c r="M48" s="545"/>
      <c r="N48" s="523"/>
      <c r="O48" s="495"/>
      <c r="P48" s="495"/>
    </row>
    <row r="49" spans="1:16" s="510" customFormat="1" ht="35" customHeight="1" x14ac:dyDescent="0.3">
      <c r="A49" s="524"/>
      <c r="B49" s="511"/>
      <c r="C49" s="768">
        <v>2</v>
      </c>
      <c r="D49" s="508" t="s">
        <v>27</v>
      </c>
      <c r="E49" s="750" t="str">
        <f>IF(VLOOKUP(CONCATENATE($C$2,"-",$D49),Languages!$A:$D,1,TRUE)=CONCATENATE($C$2,"-",$D49),VLOOKUP(CONCATENATE($C$2,"-",$D49),Languages!$A:$D,Kybermittari!$C$7,TRUE),NA())</f>
        <v>Jatkuvuussuunnitelmien kehittämisessä huomioidaan mahdollisten kybertapahtumien vaikutuksista tehdyt selvitykset ja niiden tulokset.</v>
      </c>
      <c r="F49" s="750"/>
      <c r="G49" s="750"/>
      <c r="H49" s="493">
        <f t="shared" ref="H49:H54" si="3">IFERROR(INT(LEFT($I49,1)),0)</f>
        <v>0</v>
      </c>
      <c r="I49" s="54"/>
      <c r="J49" s="648"/>
      <c r="K49" s="509"/>
      <c r="L49" s="483"/>
      <c r="M49" s="545"/>
      <c r="N49" s="523"/>
      <c r="O49" s="495"/>
      <c r="P49" s="495"/>
    </row>
    <row r="50" spans="1:16" s="510" customFormat="1" ht="47" customHeight="1" x14ac:dyDescent="0.3">
      <c r="A50" s="524"/>
      <c r="B50" s="511"/>
      <c r="C50" s="768"/>
      <c r="D50" s="508" t="s">
        <v>28</v>
      </c>
      <c r="E50" s="750" t="str">
        <f>IF(VLOOKUP(CONCATENATE($C$2,"-",$D50),Languages!$A:$D,1,TRUE)=CONCATENATE($C$2,"-",$D50),VLOOKUP(CONCATENATE($C$2,"-",$D50),Languages!$A:$D,Kybermittari!$C$7,TRUE),NA())</f>
        <v>Jatkuvuussuunnitelmissa on tunnistettu ja dokumentoitu ne suojattavat kohteet ja toiminnat, jotka tarvitaan toiminnan osa-alueen minimitoiminnallisuuden ylläpitämiseen.</v>
      </c>
      <c r="F50" s="750"/>
      <c r="G50" s="750"/>
      <c r="H50" s="493">
        <f t="shared" si="3"/>
        <v>0</v>
      </c>
      <c r="I50" s="54"/>
      <c r="J50" s="648"/>
      <c r="K50" s="509"/>
      <c r="L50" s="483"/>
      <c r="M50" s="545"/>
      <c r="N50" s="523"/>
      <c r="O50" s="495"/>
      <c r="P50" s="495"/>
    </row>
    <row r="51" spans="1:16" s="510" customFormat="1" ht="60" customHeight="1" x14ac:dyDescent="0.3">
      <c r="A51" s="524"/>
      <c r="B51" s="511"/>
      <c r="C51" s="768"/>
      <c r="D51" s="508" t="s">
        <v>29</v>
      </c>
      <c r="E51" s="750" t="str">
        <f>IF(VLOOKUP(CONCATENATE($C$2,"-",$D51),Languages!$A:$D,1,TRUE)=CONCATENATE($C$2,"-",$D51),VLOOKUP(CONCATENATE($C$2,"-",$D51),Languages!$A:$D,Kybermittari!$C$7,TRUE),NA())</f>
        <v>Jatkuvuussuunnitelmat kattavat toiminnan osa-alueen toimintavarmuuden kannalta tärkeän IT- ja OT-omaisuuden ja tietovarannot. Suunnitelmat ottavat kantaa varmuuskopioiden saatavuuteen sekä korvaaviin ja varalla oleviin suojattaviin IT- ja OT-kohteisiin.</v>
      </c>
      <c r="F51" s="750"/>
      <c r="G51" s="750"/>
      <c r="H51" s="493">
        <f t="shared" si="3"/>
        <v>0</v>
      </c>
      <c r="I51" s="54"/>
      <c r="J51" s="648"/>
      <c r="K51" s="509"/>
      <c r="L51" s="483"/>
      <c r="M51" s="545"/>
      <c r="N51" s="523"/>
      <c r="O51" s="495"/>
      <c r="P51" s="495"/>
    </row>
    <row r="52" spans="1:16" s="510" customFormat="1" ht="47" customHeight="1" x14ac:dyDescent="0.3">
      <c r="A52" s="524"/>
      <c r="B52" s="511"/>
      <c r="C52" s="768"/>
      <c r="D52" s="508" t="s">
        <v>30</v>
      </c>
      <c r="E52" s="750" t="str">
        <f>IF(VLOOKUP(CONCATENATE($C$2,"-",$D52),Languages!$A:$D,1,TRUE)=CONCATENATE($C$2,"-",$D52),VLOOKUP(CONCATENATE($C$2,"-",$D52),Languages!$A:$D,Kybermittari!$C$7,TRUE),NA())</f>
        <v>Jatkuvuussuunnitelmia testataan arvioinneilla ja harjoituksilla organisaation määrittämin aikavälein (esim. läpikäynti, simulointiharjoitus, riippuvuusharjoitus, varmuuskopioiden palautustestaus).</v>
      </c>
      <c r="F52" s="750"/>
      <c r="G52" s="750"/>
      <c r="H52" s="493">
        <f t="shared" si="3"/>
        <v>0</v>
      </c>
      <c r="I52" s="54"/>
      <c r="J52" s="648"/>
      <c r="K52" s="509"/>
      <c r="L52" s="524"/>
      <c r="M52" s="545"/>
      <c r="N52" s="524"/>
      <c r="O52" s="495"/>
      <c r="P52" s="495"/>
    </row>
    <row r="53" spans="1:16" s="510" customFormat="1" ht="60" customHeight="1" x14ac:dyDescent="0.3">
      <c r="A53" s="524"/>
      <c r="B53" s="511"/>
      <c r="C53" s="768"/>
      <c r="D53" s="508" t="s">
        <v>31</v>
      </c>
      <c r="E53" s="750" t="str">
        <f>IF(VLOOKUP(CONCATENATE($C$2,"-",$D53),Languages!$A:$D,1,TRUE)=CONCATENATE($C$2,"-",$D53),VLOOKUP(CONCATENATE($C$2,"-",$D53),Languages!$A:$D,Kybermittari!$C$7,TRUE),NA())</f>
        <v>Jatkuvuussuunnitelmissa on määritetty toipumisaika ("RTO, Recovery Time Objective") sekä toipumispiste ("Recovery Point Objective, RPO") toiminnan osa-alueen toimintavarmuuden kannalta tärkeille suojattaville kohteille ja omaisuudelle.</v>
      </c>
      <c r="F53" s="750"/>
      <c r="G53" s="750"/>
      <c r="H53" s="493">
        <f t="shared" si="3"/>
        <v>0</v>
      </c>
      <c r="I53" s="54"/>
      <c r="J53" s="648"/>
      <c r="K53" s="509"/>
      <c r="L53" s="524"/>
      <c r="M53" s="545"/>
      <c r="N53" s="524"/>
      <c r="O53" s="495"/>
      <c r="P53" s="495"/>
    </row>
    <row r="54" spans="1:16" s="510" customFormat="1" ht="61.5" customHeight="1" x14ac:dyDescent="0.3">
      <c r="A54" s="524"/>
      <c r="B54" s="511"/>
      <c r="C54" s="768"/>
      <c r="D54" s="508" t="s">
        <v>247</v>
      </c>
      <c r="E54" s="750" t="str">
        <f>IF(VLOOKUP(CONCATENATE($C$2,"-",$D54),Languages!$A:$D,1,TRUE)=CONCATENATE($C$2,"-",$D54),VLOOKUP(CONCATENATE($C$2,"-",$D54),Languages!$A:$D,Kybermittari!$C$7,TRUE),NA())</f>
        <v>Kyberhäiriöiden osalta on määritetty kriteerit, joiden perusteella jatkuvuussuunnitelmat otetaan käyttöön ja nämä kriteerit on kommunikoitu kyberhäiriöitä tutkiville ja käsitteleville yksiköille ("Incident Reponse") sekä jatkuvuudenhallinnasta vastaaville yksiköille.</v>
      </c>
      <c r="F54" s="750"/>
      <c r="G54" s="750"/>
      <c r="H54" s="493">
        <f t="shared" si="3"/>
        <v>0</v>
      </c>
      <c r="I54" s="54"/>
      <c r="J54" s="648"/>
      <c r="K54" s="509"/>
      <c r="L54" s="524"/>
      <c r="M54" s="545"/>
      <c r="N54" s="524"/>
      <c r="O54" s="495"/>
      <c r="P54" s="495"/>
    </row>
    <row r="55" spans="1:16" s="510" customFormat="1" ht="10" customHeight="1" x14ac:dyDescent="0.3">
      <c r="A55" s="524"/>
      <c r="B55" s="511"/>
      <c r="C55" s="565"/>
      <c r="D55" s="513"/>
      <c r="E55" s="501"/>
      <c r="F55" s="501"/>
      <c r="G55" s="501"/>
      <c r="H55" s="499"/>
      <c r="I55" s="502"/>
      <c r="J55" s="644"/>
      <c r="K55" s="509"/>
      <c r="L55" s="524"/>
      <c r="M55" s="545"/>
      <c r="N55" s="524"/>
      <c r="O55" s="495"/>
      <c r="P55" s="495"/>
    </row>
    <row r="56" spans="1:16" s="510" customFormat="1" ht="47" customHeight="1" x14ac:dyDescent="0.3">
      <c r="A56" s="524"/>
      <c r="B56" s="511"/>
      <c r="C56" s="768">
        <v>3</v>
      </c>
      <c r="D56" s="508" t="s">
        <v>280</v>
      </c>
      <c r="E56" s="750" t="str">
        <f>IF(VLOOKUP(CONCATENATE($C$2,"-",$D56),Languages!$A:$D,1,TRUE)=CONCATENATE($C$2,"-",$D56),VLOOKUP(CONCATENATE($C$2,"-",$D56),Languages!$A:$D,Kybermittari!$C$7,TRUE),NA())</f>
        <v>Jatkuvuussuunnitelmia testataan arvioinneilla ja harjoituksilla organisaation määrittämin aikavälein ja niissä huomioidaan ajankohtaiset kyberuhkaskenaariot.</v>
      </c>
      <c r="F56" s="750"/>
      <c r="G56" s="750"/>
      <c r="H56" s="493">
        <f>IFERROR(INT(LEFT($I56,1)),0)</f>
        <v>0</v>
      </c>
      <c r="I56" s="54"/>
      <c r="J56" s="648"/>
      <c r="K56" s="509"/>
      <c r="L56" s="524"/>
      <c r="M56" s="545"/>
      <c r="N56" s="524"/>
      <c r="O56" s="495"/>
      <c r="P56" s="495"/>
    </row>
    <row r="57" spans="1:16" s="510" customFormat="1" ht="47.5" customHeight="1" x14ac:dyDescent="0.3">
      <c r="A57" s="524"/>
      <c r="B57" s="511"/>
      <c r="C57" s="768"/>
      <c r="D57" s="508" t="s">
        <v>282</v>
      </c>
      <c r="E57" s="750" t="str">
        <f>IF(VLOOKUP(CONCATENATE($C$2,"-",$D57),Languages!$A:$D,1,TRUE)=CONCATENATE($C$2,"-",$D57),VLOOKUP(CONCATENATE($C$2,"-",$D57),Languages!$A:$D,Kybermittari!$C$7,TRUE),NA())</f>
        <v>Jatkuvuussuunnitelmat kattavat kaikki ne riskit ja uhat jotka on tunnistettu organisaation riskitaksonomiassa [kts. RISK-2e] ja uhkaprofiilissa [kts. THREAT-1d].</v>
      </c>
      <c r="F57" s="750"/>
      <c r="G57" s="750"/>
      <c r="H57" s="493">
        <f>IFERROR(INT(LEFT($I57,1)),0)</f>
        <v>0</v>
      </c>
      <c r="I57" s="54"/>
      <c r="J57" s="648"/>
      <c r="K57" s="509"/>
      <c r="L57" s="524"/>
      <c r="M57" s="545"/>
      <c r="N57" s="524"/>
      <c r="O57" s="495"/>
      <c r="P57" s="495"/>
    </row>
    <row r="58" spans="1:16" s="510" customFormat="1" ht="47" customHeight="1" x14ac:dyDescent="0.3">
      <c r="A58" s="524"/>
      <c r="B58" s="511"/>
      <c r="C58" s="768"/>
      <c r="D58" s="508" t="s">
        <v>414</v>
      </c>
      <c r="E58" s="750" t="str">
        <f>IF(VLOOKUP(CONCATENATE($C$2,"-",$D58),Languages!$A:$D,1,TRUE)=CONCATENATE($C$2,"-",$D58),VLOOKUP(CONCATENATE($C$2,"-",$D58),Languages!$A:$D,Kybermittari!$C$7,TRUE),NA())</f>
        <v>Jatkuvuussuunnitelmien testauksesta tai tositilanteista saatuja tuloksia ja kokemuksia verrataan palautumistavoitteisiin ja suunnitelmia parannetaan näiden perusteella.</v>
      </c>
      <c r="F58" s="750"/>
      <c r="G58" s="750"/>
      <c r="H58" s="493">
        <f>IFERROR(INT(LEFT($I58,1)),0)</f>
        <v>0</v>
      </c>
      <c r="I58" s="54"/>
      <c r="J58" s="648"/>
      <c r="K58" s="509"/>
      <c r="L58" s="524"/>
      <c r="M58" s="545"/>
      <c r="N58" s="524"/>
      <c r="O58" s="495"/>
      <c r="P58" s="495"/>
    </row>
    <row r="59" spans="1:16" s="510" customFormat="1" ht="35" customHeight="1" x14ac:dyDescent="0.3">
      <c r="A59" s="524"/>
      <c r="B59" s="511"/>
      <c r="C59" s="768"/>
      <c r="D59" s="508" t="s">
        <v>416</v>
      </c>
      <c r="E59" s="750" t="str">
        <f>IF(VLOOKUP(CONCATENATE($C$2,"-",$D59),Languages!$A:$D,1,TRUE)=CONCATENATE($C$2,"-",$D59),VLOOKUP(CONCATENATE($C$2,"-",$D59),Languages!$A:$D,Kybermittari!$C$7,TRUE),NA())</f>
        <v>Jatkuvuussuunnitelmien sisältö kyberhäiriöiden osalta katselmoidaan ja päivitetään säännöllisesti.</v>
      </c>
      <c r="F59" s="750"/>
      <c r="G59" s="750"/>
      <c r="H59" s="493">
        <f>IFERROR(INT(LEFT($I59,1)),0)</f>
        <v>0</v>
      </c>
      <c r="I59" s="54"/>
      <c r="J59" s="648"/>
      <c r="K59" s="509"/>
      <c r="L59" s="524"/>
      <c r="M59" s="545"/>
      <c r="N59" s="524"/>
      <c r="O59" s="495"/>
      <c r="P59" s="495"/>
    </row>
    <row r="60" spans="1:16" s="510" customFormat="1" ht="35" customHeight="1" x14ac:dyDescent="0.3">
      <c r="A60" s="524"/>
      <c r="B60" s="511"/>
      <c r="C60" s="768"/>
      <c r="D60" s="508" t="s">
        <v>418</v>
      </c>
      <c r="E60" s="750" t="str">
        <f>IF(VLOOKUP(CONCATENATE($C$2,"-",$D60),Languages!$A:$D,1,TRUE)=CONCATENATE($C$2,"-",$D60),VLOOKUP(CONCATENATE($C$2,"-",$D60),Languages!$A:$D,Kybermittari!$C$7,TRUE),NA())</f>
        <v>Jatkuvuussuunnitelmat katselmoidaan ja päivitetään säännöllisesti.</v>
      </c>
      <c r="F60" s="750"/>
      <c r="G60" s="750"/>
      <c r="H60" s="493">
        <f>IFERROR(INT(LEFT($I60,1)),0)</f>
        <v>0</v>
      </c>
      <c r="I60" s="54"/>
      <c r="J60" s="648"/>
      <c r="K60" s="509"/>
      <c r="L60" s="524"/>
      <c r="M60" s="545"/>
      <c r="N60" s="524"/>
      <c r="O60" s="495"/>
      <c r="P60" s="495"/>
    </row>
    <row r="61" spans="1:16" s="343" customFormat="1" ht="30" customHeight="1" x14ac:dyDescent="0.25">
      <c r="A61" s="332"/>
      <c r="B61" s="461"/>
      <c r="C61" s="336">
        <v>4</v>
      </c>
      <c r="D61" s="336" t="str">
        <f>IF(VLOOKUP(CONCATENATE($C$2,"-",C61),Languages!$A:$D,1,TRUE)=CONCATENATE($C$2,"-",C61),VLOOKUP(CONCATENATE($C$2,"-",C61),Languages!$A:$D,Kybermittari!$C$7,TRUE),NA())</f>
        <v>Yleisiä hallintatoimia</v>
      </c>
      <c r="E61" s="336"/>
      <c r="F61" s="506"/>
      <c r="G61" s="506"/>
      <c r="H61" s="506"/>
      <c r="I61" s="506" t="s">
        <v>19</v>
      </c>
      <c r="J61" s="506"/>
      <c r="K61" s="339"/>
      <c r="L61" s="347"/>
      <c r="M61" s="533"/>
      <c r="N61" s="347"/>
      <c r="O61" s="341"/>
      <c r="P61" s="341"/>
    </row>
    <row r="62" spans="1:16" s="475" customFormat="1" ht="47" customHeight="1" x14ac:dyDescent="0.25">
      <c r="A62" s="524"/>
      <c r="B62" s="525"/>
      <c r="C62" s="753" t="str">
        <f>IF(VLOOKUP(CONCATENATE($C$2,"-",$C61,"-0"),Languages!$A:$D,1,TRUE)=CONCATENATE($C$2,"-",$C61,"-0"),VLOOKUP(CONCATENATE($C$2,"-",$C61,"-0"),Languages!$A:$D,Kybermittari!$C$7,TRUE),NA())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62" s="753"/>
      <c r="E62" s="753"/>
      <c r="F62" s="753"/>
      <c r="G62" s="753"/>
      <c r="H62" s="753"/>
      <c r="I62" s="753"/>
      <c r="J62" s="753"/>
      <c r="K62" s="471"/>
      <c r="L62" s="524"/>
      <c r="M62" s="637"/>
      <c r="N62" s="524"/>
      <c r="O62" s="473"/>
      <c r="P62" s="473"/>
    </row>
    <row r="63" spans="1:16" s="547" customFormat="1" ht="20" customHeight="1" x14ac:dyDescent="0.3">
      <c r="A63" s="483"/>
      <c r="B63" s="476"/>
      <c r="C63" s="477" t="str">
        <f>IF(VLOOKUP("GEN-LEVEL",Languages!$A:$D,1,TRUE)="GEN-LEVEL",VLOOKUP("GEN-LEVEL",Languages!$A:$D,Kybermittari!$C$7,TRUE),NA())</f>
        <v>Taso</v>
      </c>
      <c r="D63" s="477"/>
      <c r="E63" s="478" t="str">
        <f>IF(VLOOKUP("GEN-PRACTICE",Languages!$A:$D,1,TRUE)="GEN-PRACTICE",VLOOKUP("GEN-PRACTICE",Languages!$A:$D,Kybermittari!$C$7,TRUE),NA())</f>
        <v>Käytäntö</v>
      </c>
      <c r="F63" s="479"/>
      <c r="G63" s="480"/>
      <c r="H63" s="481"/>
      <c r="I63" s="478" t="str">
        <f>IF(VLOOKUP("GEN-ANSWER",Languages!$A:$D,1,TRUE)="GEN-ANSWER",VLOOKUP("GEN-ANSWER",Languages!$A:$D,Kybermittari!$C$7,TRUE),NA())</f>
        <v>Vastaus</v>
      </c>
      <c r="J63" s="477" t="str">
        <f>IF(VLOOKUP("GEN-COMMENT",Languages!$A:$D,1,TRUE)="GEN-COMMENT",VLOOKUP("GEN-COMMENT",Languages!$A:$D,Kybermittari!$C$7,TRUE),NA())</f>
        <v>Kommentti ja viittaukset</v>
      </c>
      <c r="K63" s="482"/>
      <c r="L63" s="524"/>
      <c r="M63" s="637"/>
      <c r="N63" s="524"/>
      <c r="O63" s="473"/>
      <c r="P63" s="546"/>
    </row>
    <row r="64" spans="1:16" s="547" customFormat="1" ht="10" customHeight="1" x14ac:dyDescent="0.3">
      <c r="A64" s="483"/>
      <c r="B64" s="476"/>
      <c r="C64" s="477"/>
      <c r="D64" s="487"/>
      <c r="E64" s="488"/>
      <c r="F64" s="489"/>
      <c r="G64" s="490"/>
      <c r="H64" s="491"/>
      <c r="I64" s="488"/>
      <c r="J64" s="487"/>
      <c r="K64" s="482"/>
      <c r="L64" s="524"/>
      <c r="M64" s="637"/>
      <c r="N64" s="524"/>
      <c r="O64" s="473"/>
      <c r="P64" s="546"/>
    </row>
    <row r="65" spans="1:16" s="547" customFormat="1" ht="20" customHeight="1" x14ac:dyDescent="0.3">
      <c r="A65" s="483"/>
      <c r="B65" s="476"/>
      <c r="C65" s="557">
        <v>1</v>
      </c>
      <c r="D65" s="558"/>
      <c r="E65" s="559"/>
      <c r="F65" s="560"/>
      <c r="G65" s="561"/>
      <c r="H65" s="562"/>
      <c r="I65" s="559"/>
      <c r="J65" s="563"/>
      <c r="K65" s="482"/>
      <c r="L65" s="524"/>
      <c r="M65" s="637"/>
      <c r="N65" s="524"/>
      <c r="O65" s="473"/>
      <c r="P65" s="546"/>
    </row>
    <row r="66" spans="1:16" s="547" customFormat="1" ht="10" customHeight="1" x14ac:dyDescent="0.3">
      <c r="A66" s="483"/>
      <c r="B66" s="476"/>
      <c r="C66" s="487"/>
      <c r="D66" s="487"/>
      <c r="E66" s="488"/>
      <c r="F66" s="489"/>
      <c r="G66" s="490"/>
      <c r="H66" s="491"/>
      <c r="I66" s="502"/>
      <c r="J66" s="487"/>
      <c r="K66" s="482"/>
      <c r="L66" s="524"/>
      <c r="M66" s="637"/>
      <c r="N66" s="524"/>
      <c r="O66" s="473"/>
      <c r="P66" s="546"/>
    </row>
    <row r="67" spans="1:16" s="510" customFormat="1" ht="35" customHeight="1" x14ac:dyDescent="0.25">
      <c r="A67" s="524"/>
      <c r="B67" s="749"/>
      <c r="C67" s="768">
        <v>2</v>
      </c>
      <c r="D67" s="508" t="s">
        <v>126</v>
      </c>
      <c r="E67" s="750" t="str">
        <f>IF(VLOOKUP(CONCATENATE($C$2,"-",$D67),Languages!$A:$D,1,TRUE)=CONCATENATE($C$2,"-",$D67),VLOOKUP(CONCATENATE($C$2,"-",$D67),Languages!$A:$D,Kybermittari!$C$7,TRUE),NA())</f>
        <v>Kyberturvallisuusohjelman (PROGRAM) osioon liittyen on määritetty dokumentoidut käytännöt, joita noudatetaan ja pidetään yllä.</v>
      </c>
      <c r="F67" s="750"/>
      <c r="G67" s="750"/>
      <c r="H67" s="493">
        <f>IFERROR(INT(LEFT($I67,1)),0)</f>
        <v>0</v>
      </c>
      <c r="I67" s="54"/>
      <c r="J67" s="648"/>
      <c r="K67" s="509"/>
      <c r="L67" s="524"/>
      <c r="M67" s="637"/>
      <c r="N67" s="524"/>
      <c r="O67" s="473"/>
      <c r="P67" s="495"/>
    </row>
    <row r="68" spans="1:16" s="510" customFormat="1" ht="35" customHeight="1" x14ac:dyDescent="0.25">
      <c r="A68" s="524"/>
      <c r="B68" s="749"/>
      <c r="C68" s="768"/>
      <c r="D68" s="508" t="s">
        <v>129</v>
      </c>
      <c r="E68" s="750" t="str">
        <f>IF(VLOOKUP(CONCATENATE($C$2,"-",$D68),Languages!$A:$D,1,TRUE)=CONCATENATE($C$2,"-",$D68),VLOOKUP(CONCATENATE($C$2,"-",$D68),Languages!$A:$D,Kybermittari!$C$7,TRUE),NA())</f>
        <v>Kyberturvallisuusohjelman (PROGRAM) osion toimintaan on saatavilla riittävät resurssit (henkilöstö, rahoitus ja työkalut).</v>
      </c>
      <c r="F68" s="750"/>
      <c r="G68" s="750"/>
      <c r="H68" s="493">
        <f>IFERROR(INT(LEFT($I68,1)),0)</f>
        <v>0</v>
      </c>
      <c r="I68" s="54"/>
      <c r="J68" s="648"/>
      <c r="K68" s="509"/>
      <c r="L68" s="524"/>
      <c r="M68" s="637"/>
      <c r="N68" s="524"/>
      <c r="O68" s="473"/>
      <c r="P68" s="495"/>
    </row>
    <row r="69" spans="1:16" s="510" customFormat="1" ht="35" customHeight="1" x14ac:dyDescent="0.25">
      <c r="A69" s="524"/>
      <c r="B69" s="749"/>
      <c r="C69" s="768"/>
      <c r="D69" s="508" t="s">
        <v>132</v>
      </c>
      <c r="E69" s="750" t="str">
        <f>IF(VLOOKUP(CONCATENATE($C$2,"-",$D69),Languages!$A:$D,1,TRUE)=CONCATENATE($C$2,"-",$D69),VLOOKUP(CONCATENATE($C$2,"-",$D69),Languages!$A:$D,Kybermittari!$C$7,TRUE),NA())</f>
        <v>Kyberturvallisuusohjelman (PROGRAM) osion toimintaa suorittavilla työntekijöillä on riittävät tiedot ja taidot tehtäviensä suorittamiseen.</v>
      </c>
      <c r="F69" s="750"/>
      <c r="G69" s="750"/>
      <c r="H69" s="493">
        <f>IFERROR(INT(LEFT($I69,1)),0)</f>
        <v>0</v>
      </c>
      <c r="I69" s="54"/>
      <c r="J69" s="648"/>
      <c r="K69" s="509"/>
      <c r="L69" s="524"/>
      <c r="M69" s="637"/>
      <c r="N69" s="524"/>
      <c r="O69" s="473"/>
      <c r="P69" s="495"/>
    </row>
    <row r="70" spans="1:16" s="510" customFormat="1" ht="35" customHeight="1" x14ac:dyDescent="0.25">
      <c r="A70" s="524"/>
      <c r="B70" s="749"/>
      <c r="C70" s="768"/>
      <c r="D70" s="508" t="s">
        <v>135</v>
      </c>
      <c r="E70" s="750" t="str">
        <f>IF(VLOOKUP(CONCATENATE($C$2,"-",$D70),Languages!$A:$D,1,TRUE)=CONCATENATE($C$2,"-",$D70),VLOOKUP(CONCATENATE($C$2,"-",$D70),Languages!$A:$D,Kybermittari!$C$7,TRUE),NA())</f>
        <v>Kyberturvallisuusohjelman (PROGRAM) osion toiminnan suorittamiseen liittyvät vastuut ja valtuudet on osoitettu nimetyille työntekijöille.</v>
      </c>
      <c r="F70" s="750"/>
      <c r="G70" s="750"/>
      <c r="H70" s="493">
        <f>IFERROR(INT(LEFT($I70,1)),0)</f>
        <v>0</v>
      </c>
      <c r="I70" s="54"/>
      <c r="J70" s="648"/>
      <c r="K70" s="509"/>
      <c r="L70" s="524"/>
      <c r="M70" s="637"/>
      <c r="N70" s="524"/>
      <c r="O70" s="473"/>
      <c r="P70" s="495"/>
    </row>
    <row r="71" spans="1:16" s="510" customFormat="1" ht="10" customHeight="1" x14ac:dyDescent="0.25">
      <c r="A71" s="524"/>
      <c r="B71" s="749"/>
      <c r="C71" s="565"/>
      <c r="D71" s="513"/>
      <c r="E71" s="501"/>
      <c r="F71" s="501"/>
      <c r="G71" s="501"/>
      <c r="H71" s="499"/>
      <c r="I71" s="502"/>
      <c r="J71" s="644"/>
      <c r="K71" s="509"/>
      <c r="L71" s="524"/>
      <c r="M71" s="637"/>
      <c r="N71" s="524"/>
      <c r="O71" s="473"/>
      <c r="P71" s="495"/>
    </row>
    <row r="72" spans="1:16" s="510" customFormat="1" ht="60.5" customHeight="1" x14ac:dyDescent="0.25">
      <c r="A72" s="524"/>
      <c r="B72" s="749"/>
      <c r="C72" s="768">
        <v>3</v>
      </c>
      <c r="D72" s="508" t="s">
        <v>138</v>
      </c>
      <c r="E72" s="750" t="str">
        <f>IF(VLOOKUP(CONCATENATE($C$2,"-",$D72),Languages!$A:$D,1,TRUE)=CONCATENATE($C$2,"-",$D72),VLOOKUP(CONCATENATE($C$2,"-",$D72),Languages!$A:$D,Kybermittari!$C$7,TRUE),NA())</f>
        <v>Kyberturvallisuusohjelman (PROGRAM) osion toiminta perustuu organisaation määrittämään ja ylläpitämään johtotason politiikkaan (tai vastaavaan ohjeistukseen), jossa asetetaan nimenomaisia vaatimuksia tämän osion toiminnalle.</v>
      </c>
      <c r="F72" s="750"/>
      <c r="G72" s="750"/>
      <c r="H72" s="493">
        <f>IFERROR(INT(LEFT($I72,1)),0)</f>
        <v>0</v>
      </c>
      <c r="I72" s="54"/>
      <c r="J72" s="648"/>
      <c r="K72" s="509"/>
      <c r="L72" s="524"/>
      <c r="M72" s="637"/>
      <c r="N72" s="524"/>
      <c r="O72" s="473"/>
      <c r="P72" s="495"/>
    </row>
    <row r="73" spans="1:16" s="510" customFormat="1" ht="35" customHeight="1" x14ac:dyDescent="0.25">
      <c r="A73" s="524"/>
      <c r="B73" s="749"/>
      <c r="C73" s="768"/>
      <c r="D73" s="508" t="s">
        <v>140</v>
      </c>
      <c r="E73" s="750" t="str">
        <f>IF(VLOOKUP(CONCATENATE($C$2,"-",$D73),Languages!$A:$D,1,TRUE)=CONCATENATE($C$2,"-",$D73),VLOOKUP(CONCATENATE($C$2,"-",$D73),Languages!$A:$D,Kybermittari!$C$7,TRUE),NA())</f>
        <v>Kyberturvallisuusohjelman (PROGRAM) osion toiminnalle on määritetty suoriutumistavoitteet, joiden toteutumista seurataan [kts. PROGRAM-1b].</v>
      </c>
      <c r="F73" s="750"/>
      <c r="G73" s="750"/>
      <c r="H73" s="493">
        <f>IFERROR(INT(LEFT($I73,1)),0)</f>
        <v>0</v>
      </c>
      <c r="I73" s="54"/>
      <c r="J73" s="648"/>
      <c r="K73" s="509"/>
      <c r="L73" s="524"/>
      <c r="M73" s="637"/>
      <c r="N73" s="524"/>
      <c r="O73" s="473"/>
      <c r="P73" s="495"/>
    </row>
    <row r="74" spans="1:16" s="510" customFormat="1" ht="35" customHeight="1" x14ac:dyDescent="0.25">
      <c r="A74" s="524"/>
      <c r="B74" s="749"/>
      <c r="C74" s="768"/>
      <c r="D74" s="508" t="s">
        <v>255</v>
      </c>
      <c r="E74" s="750" t="str">
        <f>IF(VLOOKUP(CONCATENATE($C$2,"-",$D74),Languages!$A:$D,1,TRUE)=CONCATENATE($C$2,"-",$D74),VLOOKUP(CONCATENATE($C$2,"-",$D74),Languages!$A:$D,Kybermittari!$C$7,TRUE),NA())</f>
        <v>Kyberturvallisuusohjelman (PROGRAM) osioon liittyvät käytännöt on standardoitu läpi koko organisaation ja niitä kehitetään aktiivisesti.</v>
      </c>
      <c r="F74" s="750"/>
      <c r="G74" s="750"/>
      <c r="H74" s="493">
        <f>IFERROR(INT(LEFT($I74,1)),0)</f>
        <v>0</v>
      </c>
      <c r="I74" s="54"/>
      <c r="J74" s="648"/>
      <c r="K74" s="509"/>
      <c r="L74" s="524"/>
      <c r="M74" s="637"/>
      <c r="N74" s="524"/>
      <c r="O74" s="473"/>
      <c r="P74" s="495"/>
    </row>
    <row r="75" spans="1:16" x14ac:dyDescent="0.25">
      <c r="A75" s="347"/>
      <c r="B75" s="619"/>
      <c r="C75" s="620"/>
      <c r="D75" s="621"/>
      <c r="E75" s="622"/>
      <c r="F75" s="622"/>
      <c r="G75" s="622"/>
      <c r="H75" s="623"/>
      <c r="I75" s="624"/>
      <c r="J75" s="622"/>
      <c r="K75" s="626"/>
      <c r="L75" s="347"/>
      <c r="M75" s="638"/>
      <c r="N75" s="347"/>
    </row>
    <row r="76" spans="1:16" x14ac:dyDescent="0.25">
      <c r="A76" s="347"/>
      <c r="B76" s="347"/>
      <c r="C76" s="347"/>
      <c r="D76" s="347"/>
      <c r="E76" s="347"/>
      <c r="F76" s="347"/>
      <c r="G76" s="347"/>
      <c r="H76" s="627"/>
      <c r="I76" s="347"/>
      <c r="J76" s="647"/>
      <c r="K76" s="347"/>
      <c r="L76" s="347"/>
      <c r="M76" s="638"/>
      <c r="N76" s="347"/>
    </row>
  </sheetData>
  <sheetProtection sheet="1" objects="1" scenarios="1"/>
  <mergeCells count="60">
    <mergeCell ref="E57:G57"/>
    <mergeCell ref="E58:G58"/>
    <mergeCell ref="C67:C70"/>
    <mergeCell ref="C72:C74"/>
    <mergeCell ref="C5:J5"/>
    <mergeCell ref="E51:G51"/>
    <mergeCell ref="E59:G59"/>
    <mergeCell ref="E60:G60"/>
    <mergeCell ref="C46:C47"/>
    <mergeCell ref="C49:C54"/>
    <mergeCell ref="C56:C60"/>
    <mergeCell ref="E52:G52"/>
    <mergeCell ref="E53:G53"/>
    <mergeCell ref="E54:G54"/>
    <mergeCell ref="E39:G39"/>
    <mergeCell ref="C43:J43"/>
    <mergeCell ref="E46:G46"/>
    <mergeCell ref="E47:G47"/>
    <mergeCell ref="E49:G49"/>
    <mergeCell ref="E56:G56"/>
    <mergeCell ref="E50:G50"/>
    <mergeCell ref="B73:B74"/>
    <mergeCell ref="E73:G73"/>
    <mergeCell ref="E74:G74"/>
    <mergeCell ref="C16:C21"/>
    <mergeCell ref="E21:G21"/>
    <mergeCell ref="C28:C29"/>
    <mergeCell ref="C31:C36"/>
    <mergeCell ref="C38:C41"/>
    <mergeCell ref="C62:J62"/>
    <mergeCell ref="B67:B72"/>
    <mergeCell ref="E67:G67"/>
    <mergeCell ref="E68:G68"/>
    <mergeCell ref="E70:G70"/>
    <mergeCell ref="E72:G72"/>
    <mergeCell ref="E32:G32"/>
    <mergeCell ref="E33:G33"/>
    <mergeCell ref="E29:G29"/>
    <mergeCell ref="E34:G34"/>
    <mergeCell ref="E40:G40"/>
    <mergeCell ref="E41:G41"/>
    <mergeCell ref="E35:G35"/>
    <mergeCell ref="E36:G36"/>
    <mergeCell ref="E38:G38"/>
    <mergeCell ref="E69:G69"/>
    <mergeCell ref="B31:B41"/>
    <mergeCell ref="E31:G31"/>
    <mergeCell ref="C11:J11"/>
    <mergeCell ref="B14:B16"/>
    <mergeCell ref="E14:G14"/>
    <mergeCell ref="E16:G16"/>
    <mergeCell ref="B17:B20"/>
    <mergeCell ref="E17:G17"/>
    <mergeCell ref="E18:G18"/>
    <mergeCell ref="E19:G19"/>
    <mergeCell ref="E20:G20"/>
    <mergeCell ref="E23:G23"/>
    <mergeCell ref="C25:J25"/>
    <mergeCell ref="B28:B29"/>
    <mergeCell ref="E28:G28"/>
  </mergeCells>
  <conditionalFormatting sqref="H65">
    <cfRule type="containsText" dxfId="49" priority="5" operator="containsText" text="0">
      <formula>NOT(ISERROR(SEARCH("0",H65)))</formula>
    </cfRule>
  </conditionalFormatting>
  <conditionalFormatting sqref="H1:H1048576">
    <cfRule type="containsText" dxfId="48"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645A96C2-A06B-4213-9C4F-BB287D7E49C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H65</xm:sqref>
        </x14:conditionalFormatting>
        <x14:conditionalFormatting xmlns:xm="http://schemas.microsoft.com/office/excel/2006/main">
          <x14:cfRule type="iconSet" priority="4" id="{68D6A089-3EC8-41EC-8795-097A48DF224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I14 I16:I21 I23 I28:I29 I31:I36 I38:I41 I46:I47 I49:I54 I56:I60 I67:I70 I72:I74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59999389629810485"/>
  </sheetPr>
  <dimension ref="A1:R22"/>
  <sheetViews>
    <sheetView showGridLines="0" zoomScaleNormal="100" workbookViewId="0">
      <selection activeCell="J15" sqref="J15"/>
    </sheetView>
  </sheetViews>
  <sheetFormatPr defaultColWidth="9.28515625" defaultRowHeight="11.5" x14ac:dyDescent="0.25"/>
  <cols>
    <col min="1" max="2" width="1.640625" style="303" customWidth="1"/>
    <col min="3" max="3" width="2.640625" style="303" customWidth="1"/>
    <col min="4" max="4" width="2.640625" style="518" customWidth="1"/>
    <col min="5" max="5" width="40.640625" style="518" customWidth="1"/>
    <col min="6" max="8" width="12.640625" style="301" customWidth="1"/>
    <col min="9" max="9" width="13.2109375" style="301" customWidth="1"/>
    <col min="10" max="10" width="12.640625" style="670" customWidth="1"/>
    <col min="11" max="12" width="12.640625" style="301" customWidth="1"/>
    <col min="13" max="13" width="1.640625" style="303" customWidth="1"/>
    <col min="14" max="14" width="1.640625" style="521" customWidth="1"/>
    <col min="15" max="15" width="1.640625" style="671" customWidth="1"/>
    <col min="16" max="16" width="1.35546875" style="521" customWidth="1"/>
    <col min="17" max="18" width="9.0703125" style="301" customWidth="1"/>
    <col min="19" max="19" width="9.0703125" style="303" customWidth="1"/>
    <col min="20" max="16384" width="9.28515625" style="303"/>
  </cols>
  <sheetData>
    <row r="1" spans="1:18" x14ac:dyDescent="0.25">
      <c r="A1" s="297"/>
      <c r="B1" s="297"/>
      <c r="C1" s="297"/>
      <c r="D1" s="297"/>
      <c r="E1" s="297"/>
      <c r="F1" s="297"/>
      <c r="G1" s="297"/>
      <c r="H1" s="297"/>
      <c r="I1" s="297"/>
      <c r="J1" s="297"/>
      <c r="K1" s="297"/>
      <c r="L1" s="297"/>
      <c r="M1" s="297"/>
      <c r="N1" s="297"/>
      <c r="O1" s="300"/>
      <c r="P1" s="297"/>
    </row>
    <row r="2" spans="1:18" s="448" customFormat="1" ht="25" customHeight="1" x14ac:dyDescent="0.2">
      <c r="A2" s="441"/>
      <c r="B2" s="305"/>
      <c r="C2" s="650" t="s">
        <v>1585</v>
      </c>
      <c r="D2" s="308"/>
      <c r="E2" s="308"/>
      <c r="F2" s="444"/>
      <c r="G2" s="308"/>
      <c r="H2" s="308"/>
      <c r="I2" s="308"/>
      <c r="J2" s="308"/>
      <c r="K2" s="308"/>
      <c r="L2" s="308"/>
      <c r="M2" s="310"/>
      <c r="N2" s="441"/>
      <c r="O2" s="445"/>
      <c r="P2" s="441"/>
      <c r="Q2" s="446"/>
      <c r="R2" s="446"/>
    </row>
    <row r="3" spans="1:18" ht="25" customHeight="1" x14ac:dyDescent="0.35">
      <c r="A3" s="297"/>
      <c r="B3" s="323"/>
      <c r="C3" s="321" t="str">
        <f>IF(VLOOKUP($C$2,Languages!$A:$D,1,TRUE)=$C$2,VLOOKUP($C$2,Languages!$A:$D,Kybermittari!$C$7,TRUE),NA())</f>
        <v>Kyberturvallisuuden investointien taso</v>
      </c>
      <c r="D3" s="449"/>
      <c r="E3" s="449"/>
      <c r="F3" s="651"/>
      <c r="G3" s="606"/>
      <c r="H3" s="652"/>
      <c r="I3" s="606"/>
      <c r="J3" s="606"/>
      <c r="K3" s="606"/>
      <c r="L3" s="606"/>
      <c r="M3" s="327"/>
      <c r="N3" s="297"/>
      <c r="O3" s="445"/>
      <c r="P3" s="297"/>
    </row>
    <row r="4" spans="1:18" ht="10" customHeight="1" x14ac:dyDescent="0.2">
      <c r="A4" s="297"/>
      <c r="B4" s="323"/>
      <c r="C4" s="455"/>
      <c r="D4" s="325"/>
      <c r="E4" s="325"/>
      <c r="F4" s="325"/>
      <c r="G4" s="325"/>
      <c r="H4" s="325"/>
      <c r="I4" s="325"/>
      <c r="J4" s="325"/>
      <c r="K4" s="325"/>
      <c r="L4" s="453"/>
      <c r="M4" s="327"/>
      <c r="N4" s="297"/>
      <c r="O4" s="445"/>
      <c r="P4" s="297"/>
    </row>
    <row r="5" spans="1:18" ht="80" customHeight="1" x14ac:dyDescent="0.2">
      <c r="A5" s="297"/>
      <c r="B5" s="323"/>
      <c r="C5" s="773" t="str">
        <f>IF(VLOOKUP("INVEST-02",Languages!$A:$D,1,TRUE)="INVEST-02",VLOOKUP("INVEST-02",Languages!$A:$D,Kybermittari!$C$7,TRUE),NA())</f>
        <v>Valitse viisi suurinta kyberturvallisuuteen liittyvää kuluerää tai investointia viimeisten 24 kk ajalta ja syötä summat tuhansissa euroissa (x 1 000 €). Syötä vain ne kuluerät tai investoinnit, joiden pääasiallinen tarkoitus on ollut kyberturvallisuuden parantaminen tai ylläpitäminen.
Sarakkeeseen "Suunniteltu" voit syöttää arvioimasi kulut/investoinnit seuraavien 12 kk aikana. Mikäli summat eivät ole vielä tiedossa, mutta tiedät mihin kategorioihin aiotaan panostaa, voit merkitä kategoriat "x"-merkillä.</v>
      </c>
      <c r="D5" s="773"/>
      <c r="E5" s="773"/>
      <c r="F5" s="773"/>
      <c r="G5" s="773"/>
      <c r="H5" s="773"/>
      <c r="I5" s="773"/>
      <c r="J5" s="773"/>
      <c r="K5" s="773"/>
      <c r="L5" s="773"/>
      <c r="M5" s="327"/>
      <c r="N5" s="297"/>
      <c r="O5" s="445"/>
      <c r="P5" s="297"/>
    </row>
    <row r="6" spans="1:18" s="343" customFormat="1" ht="5" customHeight="1" thickBot="1" x14ac:dyDescent="0.35">
      <c r="A6" s="332"/>
      <c r="B6" s="461"/>
      <c r="C6" s="653"/>
      <c r="D6" s="653"/>
      <c r="E6" s="653"/>
      <c r="F6" s="654"/>
      <c r="G6" s="655"/>
      <c r="H6" s="655"/>
      <c r="I6" s="655"/>
      <c r="J6" s="656"/>
      <c r="K6" s="656"/>
      <c r="L6" s="655"/>
      <c r="M6" s="466"/>
      <c r="N6" s="467"/>
      <c r="O6" s="657"/>
      <c r="P6" s="332"/>
      <c r="Q6" s="341"/>
      <c r="R6" s="341"/>
    </row>
    <row r="7" spans="1:18" s="343" customFormat="1" ht="30" customHeight="1" x14ac:dyDescent="0.25">
      <c r="A7" s="332"/>
      <c r="B7" s="461"/>
      <c r="C7" s="778" t="str">
        <f>IF(VLOOKUP("INVEST-03",Languages!$A:$D,1,TRUE)="INVEST-03",VLOOKUP("INVEST-03",Languages!$A:$D,Kybermittari!$C$7,TRUE),NA())</f>
        <v>Kategoria</v>
      </c>
      <c r="D7" s="778"/>
      <c r="E7" s="778"/>
      <c r="F7" s="658" t="str">
        <f>IF(VLOOKUP("INVEST-04",Languages!$A:$D,1,TRUE)="INVEST-04",VLOOKUP("INVEST-04",Languages!$A:$D,Kybermittari!$C$7,TRUE),NA())</f>
        <v>Henkilöstö (sisäinen)</v>
      </c>
      <c r="G7" s="658" t="str">
        <f>IF(VLOOKUP("INVEST-05",Languages!$A:$D,1,TRUE)="INVEST-05",VLOOKUP("INVEST-05",Languages!$A:$D,Kybermittari!$C$7,TRUE),NA())</f>
        <v>Konsultointi</v>
      </c>
      <c r="H7" s="658" t="str">
        <f>IF(VLOOKUP("INVEST-06",Languages!$A:$D,1,TRUE)="INVEST-06",VLOOKUP("INVEST-06",Languages!$A:$D,Kybermittari!$C$7,TRUE),NA())</f>
        <v>Palvelut</v>
      </c>
      <c r="I7" s="658" t="str">
        <f>IF(VLOOKUP("INVEST-07",Languages!$A:$D,1,TRUE)="INVEST-07",VLOOKUP("INVEST-07",Languages!$A:$D,Kybermittari!$C$7,TRUE),NA())</f>
        <v>Ohjelmisto-lisenssit</v>
      </c>
      <c r="J7" s="658" t="str">
        <f>IF(VLOOKUP("INVEST-08",Languages!$A:$D,1,TRUE)="INVEST-08",VLOOKUP("INVEST-08",Languages!$A:$D,Kybermittari!$C$7,TRUE),NA())</f>
        <v>Laite-investoinnit</v>
      </c>
      <c r="K7" s="481" t="str">
        <f>IF(VLOOKUP("INVEST-09",Languages!$A:$D,1,TRUE)="INVEST-09",VLOOKUP("INVEST-09",Languages!$A:$D,Kybermittari!$C$7,TRUE),NA())</f>
        <v>Yhteensä</v>
      </c>
      <c r="L7" s="659" t="str">
        <f>IF(VLOOKUP("INVEST-10",Languages!$A:$D,1,TRUE)="INVEST-10",VLOOKUP("INVEST-10",Languages!$A:$D,Kybermittari!$C$7,TRUE),NA())</f>
        <v>Suunniteltu</v>
      </c>
      <c r="M7" s="466"/>
      <c r="N7" s="467"/>
      <c r="O7" s="445"/>
      <c r="P7" s="332"/>
      <c r="Q7" s="341"/>
      <c r="R7" s="341"/>
    </row>
    <row r="8" spans="1:18" s="343" customFormat="1" ht="30" customHeight="1" x14ac:dyDescent="0.25">
      <c r="A8" s="332"/>
      <c r="B8" s="660" t="s">
        <v>60</v>
      </c>
      <c r="C8" s="779" t="str">
        <f>IF(VLOOKUP($B8,Languages!$A:$D,1,TRUE)=$B8,VLOOKUP($B8,Languages!$A:$D,Kybermittari!$C$7,TRUE),NA())</f>
        <v>Kriittisten palveluiden suojaaminen</v>
      </c>
      <c r="D8" s="780"/>
      <c r="E8" s="780"/>
      <c r="F8" s="672"/>
      <c r="G8" s="672"/>
      <c r="H8" s="672"/>
      <c r="I8" s="672"/>
      <c r="J8" s="672"/>
      <c r="K8" s="661">
        <f>SUM(F8:J8)</f>
        <v>0</v>
      </c>
      <c r="L8" s="672"/>
      <c r="M8" s="466"/>
      <c r="N8" s="467"/>
      <c r="O8" s="445"/>
      <c r="P8" s="332"/>
      <c r="Q8" s="341"/>
      <c r="R8" s="341"/>
    </row>
    <row r="9" spans="1:18" s="343" customFormat="1" ht="30" customHeight="1" x14ac:dyDescent="0.25">
      <c r="A9" s="332"/>
      <c r="B9" s="660" t="s">
        <v>0</v>
      </c>
      <c r="C9" s="776" t="str">
        <f>IF(VLOOKUP($B9,Languages!$A:$D,1,TRUE)=$B9,VLOOKUP($B9,Languages!$A:$D,Kybermittari!$C$7,TRUE),NA())</f>
        <v>Riskienhallinta</v>
      </c>
      <c r="D9" s="776"/>
      <c r="E9" s="776"/>
      <c r="F9" s="672"/>
      <c r="G9" s="672"/>
      <c r="H9" s="672"/>
      <c r="I9" s="672"/>
      <c r="J9" s="672"/>
      <c r="K9" s="661">
        <f t="shared" ref="K9:K18" si="0">SUM(F9:J9)</f>
        <v>0</v>
      </c>
      <c r="L9" s="672"/>
      <c r="M9" s="466"/>
      <c r="N9" s="467"/>
      <c r="O9" s="445"/>
      <c r="P9" s="332"/>
      <c r="Q9" s="341"/>
      <c r="R9" s="341"/>
    </row>
    <row r="10" spans="1:18" s="343" customFormat="1" ht="30" customHeight="1" x14ac:dyDescent="0.25">
      <c r="A10" s="332"/>
      <c r="B10" s="660" t="s">
        <v>51</v>
      </c>
      <c r="C10" s="776" t="str">
        <f>IF(VLOOKUP($B10,Languages!$A:$D,1,TRUE)=$B10,VLOOKUP($B10,Languages!$A:$D,Kybermittari!$C$7,TRUE),NA())</f>
        <v>Omaisuuden, muutoksen ja konfiguraation hallinta</v>
      </c>
      <c r="D10" s="776"/>
      <c r="E10" s="776"/>
      <c r="F10" s="673"/>
      <c r="G10" s="673"/>
      <c r="H10" s="673"/>
      <c r="I10" s="673"/>
      <c r="J10" s="673"/>
      <c r="K10" s="661">
        <f t="shared" si="0"/>
        <v>0</v>
      </c>
      <c r="L10" s="673"/>
      <c r="M10" s="466"/>
      <c r="N10" s="467"/>
      <c r="O10" s="445"/>
      <c r="P10" s="332"/>
      <c r="Q10" s="341"/>
      <c r="R10" s="341"/>
    </row>
    <row r="11" spans="1:18" s="343" customFormat="1" ht="30" customHeight="1" x14ac:dyDescent="0.25">
      <c r="A11" s="332"/>
      <c r="B11" s="660" t="s">
        <v>64</v>
      </c>
      <c r="C11" s="776" t="str">
        <f>IF(VLOOKUP($B11,Languages!$A:$D,1,TRUE)=$B11,VLOOKUP($B11,Languages!$A:$D,Kybermittari!$C$7,TRUE),NA())</f>
        <v>Identiteetin- ja pääsynhallinta</v>
      </c>
      <c r="D11" s="776"/>
      <c r="E11" s="776"/>
      <c r="F11" s="673"/>
      <c r="G11" s="673"/>
      <c r="H11" s="673"/>
      <c r="I11" s="673"/>
      <c r="J11" s="673"/>
      <c r="K11" s="661">
        <f t="shared" si="0"/>
        <v>0</v>
      </c>
      <c r="L11" s="673"/>
      <c r="M11" s="466"/>
      <c r="N11" s="467"/>
      <c r="O11" s="445"/>
      <c r="P11" s="332"/>
      <c r="Q11" s="341"/>
      <c r="R11" s="341"/>
    </row>
    <row r="12" spans="1:18" s="343" customFormat="1" ht="30" customHeight="1" x14ac:dyDescent="0.25">
      <c r="A12" s="332"/>
      <c r="B12" s="660" t="s">
        <v>69</v>
      </c>
      <c r="C12" s="776" t="str">
        <f>IF(VLOOKUP($B12,Languages!$A:$D,1,TRUE)=$B12,VLOOKUP($B12,Languages!$A:$D,Kybermittari!$C$7,TRUE),NA())</f>
        <v>Uhkien ja haavoittuvuuksien hallinta</v>
      </c>
      <c r="D12" s="776"/>
      <c r="E12" s="776"/>
      <c r="F12" s="673"/>
      <c r="G12" s="673"/>
      <c r="H12" s="673"/>
      <c r="I12" s="673"/>
      <c r="J12" s="673"/>
      <c r="K12" s="661">
        <f t="shared" si="0"/>
        <v>0</v>
      </c>
      <c r="L12" s="673"/>
      <c r="M12" s="466"/>
      <c r="N12" s="467"/>
      <c r="O12" s="445"/>
      <c r="P12" s="332"/>
      <c r="Q12" s="341"/>
      <c r="R12" s="341"/>
    </row>
    <row r="13" spans="1:18" s="343" customFormat="1" ht="30" customHeight="1" x14ac:dyDescent="0.25">
      <c r="A13" s="332"/>
      <c r="B13" s="660" t="s">
        <v>72</v>
      </c>
      <c r="C13" s="776" t="str">
        <f>IF(VLOOKUP($B13,Languages!$A:$D,1,TRUE)=$B13,VLOOKUP($B13,Languages!$A:$D,Kybermittari!$C$7,TRUE),NA())</f>
        <v>Tilannekuva</v>
      </c>
      <c r="D13" s="776"/>
      <c r="E13" s="776"/>
      <c r="F13" s="673"/>
      <c r="G13" s="673"/>
      <c r="H13" s="673"/>
      <c r="I13" s="673"/>
      <c r="J13" s="673"/>
      <c r="K13" s="661">
        <f t="shared" si="0"/>
        <v>0</v>
      </c>
      <c r="L13" s="673"/>
      <c r="M13" s="466"/>
      <c r="N13" s="467"/>
      <c r="O13" s="445"/>
      <c r="P13" s="332"/>
      <c r="Q13" s="341"/>
      <c r="R13" s="341"/>
    </row>
    <row r="14" spans="1:18" s="343" customFormat="1" ht="30" customHeight="1" x14ac:dyDescent="0.25">
      <c r="A14" s="332"/>
      <c r="B14" s="660" t="s">
        <v>74</v>
      </c>
      <c r="C14" s="776" t="str">
        <f>IF(VLOOKUP($B14,Languages!$A:$D,1,TRUE)=$B14,VLOOKUP($B14,Languages!$A:$D,Kybermittari!$C$7,TRUE),NA())</f>
        <v>Tapahtumien ja häiriötilanteiden hallinta</v>
      </c>
      <c r="D14" s="776"/>
      <c r="E14" s="776"/>
      <c r="F14" s="673"/>
      <c r="G14" s="673"/>
      <c r="H14" s="673"/>
      <c r="I14" s="673"/>
      <c r="J14" s="673"/>
      <c r="K14" s="661">
        <f t="shared" si="0"/>
        <v>0</v>
      </c>
      <c r="L14" s="673"/>
      <c r="M14" s="466"/>
      <c r="N14" s="467"/>
      <c r="O14" s="445"/>
      <c r="P14" s="332"/>
      <c r="Q14" s="341"/>
      <c r="R14" s="341"/>
    </row>
    <row r="15" spans="1:18" s="343" customFormat="1" ht="30" customHeight="1" x14ac:dyDescent="0.25">
      <c r="A15" s="332"/>
      <c r="B15" s="660" t="s">
        <v>77</v>
      </c>
      <c r="C15" s="776" t="str">
        <f>IF(VLOOKUP($B15,Languages!$A:$D,1,TRUE)=$B15,VLOOKUP($B15,Languages!$A:$D,Kybermittari!$C$7,TRUE),NA())</f>
        <v>Toimitusketjun ja ulkoisten riippuvuuksien hallinta</v>
      </c>
      <c r="D15" s="776"/>
      <c r="E15" s="776"/>
      <c r="F15" s="673"/>
      <c r="G15" s="673"/>
      <c r="H15" s="673"/>
      <c r="I15" s="673"/>
      <c r="J15" s="673"/>
      <c r="K15" s="661">
        <f t="shared" si="0"/>
        <v>0</v>
      </c>
      <c r="L15" s="673"/>
      <c r="M15" s="466"/>
      <c r="N15" s="467"/>
      <c r="O15" s="445"/>
      <c r="P15" s="332"/>
      <c r="Q15" s="341"/>
      <c r="R15" s="341"/>
    </row>
    <row r="16" spans="1:18" s="343" customFormat="1" ht="30" customHeight="1" x14ac:dyDescent="0.25">
      <c r="A16" s="332"/>
      <c r="B16" s="660" t="s">
        <v>80</v>
      </c>
      <c r="C16" s="776" t="str">
        <f>IF(VLOOKUP($B16,Languages!$A:$D,1,TRUE)=$B16,VLOOKUP($B16,Languages!$A:$D,Kybermittari!$C$7,TRUE),NA())</f>
        <v>Henkilöstön hallinta</v>
      </c>
      <c r="D16" s="776"/>
      <c r="E16" s="776"/>
      <c r="F16" s="673"/>
      <c r="G16" s="673"/>
      <c r="H16" s="673"/>
      <c r="I16" s="673"/>
      <c r="J16" s="673"/>
      <c r="K16" s="661">
        <f t="shared" si="0"/>
        <v>0</v>
      </c>
      <c r="L16" s="673"/>
      <c r="M16" s="466"/>
      <c r="N16" s="467"/>
      <c r="O16" s="445"/>
      <c r="P16" s="332"/>
      <c r="Q16" s="341"/>
      <c r="R16" s="341"/>
    </row>
    <row r="17" spans="1:18" s="343" customFormat="1" ht="30" customHeight="1" x14ac:dyDescent="0.25">
      <c r="A17" s="332"/>
      <c r="B17" s="660" t="s">
        <v>83</v>
      </c>
      <c r="C17" s="776" t="str">
        <f>IF(VLOOKUP($B17,Languages!$A:$D,1,TRUE)=$B17,VLOOKUP($B17,Languages!$A:$D,Kybermittari!$C$7,TRUE),NA())</f>
        <v>Kyberturvallisuusarkkitehtuuri</v>
      </c>
      <c r="D17" s="776"/>
      <c r="E17" s="776"/>
      <c r="F17" s="673"/>
      <c r="G17" s="673"/>
      <c r="H17" s="673"/>
      <c r="I17" s="673"/>
      <c r="J17" s="673"/>
      <c r="K17" s="661">
        <f t="shared" si="0"/>
        <v>0</v>
      </c>
      <c r="L17" s="673"/>
      <c r="M17" s="466"/>
      <c r="N17" s="467"/>
      <c r="O17" s="445"/>
      <c r="P17" s="332"/>
      <c r="Q17" s="341"/>
      <c r="R17" s="341"/>
    </row>
    <row r="18" spans="1:18" s="343" customFormat="1" ht="30" customHeight="1" x14ac:dyDescent="0.25">
      <c r="A18" s="332"/>
      <c r="B18" s="660" t="s">
        <v>85</v>
      </c>
      <c r="C18" s="777" t="str">
        <f>IF(VLOOKUP($B18,Languages!$A:$D,1,TRUE)=$B18,VLOOKUP($B18,Languages!$A:$D,Kybermittari!$C$7,TRUE),NA())</f>
        <v>Kyberturvallisuusohjelma</v>
      </c>
      <c r="D18" s="777"/>
      <c r="E18" s="777"/>
      <c r="F18" s="674"/>
      <c r="G18" s="674"/>
      <c r="H18" s="674"/>
      <c r="I18" s="674"/>
      <c r="J18" s="674"/>
      <c r="K18" s="661">
        <f t="shared" si="0"/>
        <v>0</v>
      </c>
      <c r="L18" s="674"/>
      <c r="M18" s="466"/>
      <c r="N18" s="467"/>
      <c r="O18" s="445"/>
      <c r="P18" s="332"/>
      <c r="Q18" s="341"/>
      <c r="R18" s="341"/>
    </row>
    <row r="19" spans="1:18" s="343" customFormat="1" ht="30" customHeight="1" x14ac:dyDescent="0.25">
      <c r="A19" s="332"/>
      <c r="B19" s="660"/>
      <c r="C19" s="774" t="str">
        <f>IF(VLOOKUP("INVEST-11",Languages!$A:$D,1,TRUE)="INVEST-11",VLOOKUP("INVEST-11",Languages!$A:$D,Kybermittari!$C$7,TRUE),NA())</f>
        <v>Yhteensä (x 1 000 €)</v>
      </c>
      <c r="D19" s="774"/>
      <c r="E19" s="775"/>
      <c r="F19" s="662">
        <f>SUM(F8:F18)</f>
        <v>0</v>
      </c>
      <c r="G19" s="662">
        <f t="shared" ref="G19:I19" si="1">SUM(G8:G18)</f>
        <v>0</v>
      </c>
      <c r="H19" s="662">
        <f t="shared" si="1"/>
        <v>0</v>
      </c>
      <c r="I19" s="662">
        <f t="shared" si="1"/>
        <v>0</v>
      </c>
      <c r="J19" s="662">
        <f>SUM(J8:J18)</f>
        <v>0</v>
      </c>
      <c r="K19" s="662">
        <f>SUM(K8:K18)</f>
        <v>0</v>
      </c>
      <c r="L19" s="662">
        <f t="shared" ref="L19" si="2">SUM(L8:L18)</f>
        <v>0</v>
      </c>
      <c r="M19" s="466"/>
      <c r="N19" s="467"/>
      <c r="O19" s="445"/>
      <c r="P19" s="332"/>
      <c r="Q19" s="341"/>
      <c r="R19" s="341"/>
    </row>
    <row r="20" spans="1:18" s="343" customFormat="1" ht="30" customHeight="1" x14ac:dyDescent="0.3">
      <c r="A20" s="332"/>
      <c r="B20" s="461"/>
      <c r="C20" s="663"/>
      <c r="D20" s="664"/>
      <c r="E20" s="664"/>
      <c r="F20" s="609"/>
      <c r="G20" s="665"/>
      <c r="H20" s="665"/>
      <c r="I20" s="665"/>
      <c r="J20" s="666"/>
      <c r="K20" s="666"/>
      <c r="L20" s="665"/>
      <c r="M20" s="466"/>
      <c r="N20" s="467"/>
      <c r="O20" s="300"/>
      <c r="P20" s="332"/>
      <c r="Q20" s="341"/>
      <c r="R20" s="341"/>
    </row>
    <row r="21" spans="1:18" x14ac:dyDescent="0.25">
      <c r="A21" s="422"/>
      <c r="B21" s="423"/>
      <c r="C21" s="516"/>
      <c r="D21" s="424"/>
      <c r="E21" s="424"/>
      <c r="F21" s="517"/>
      <c r="G21" s="517"/>
      <c r="H21" s="517"/>
      <c r="I21" s="517"/>
      <c r="J21" s="667"/>
      <c r="K21" s="668"/>
      <c r="L21" s="517"/>
      <c r="M21" s="429"/>
      <c r="N21" s="422"/>
      <c r="O21" s="669"/>
      <c r="P21" s="422"/>
    </row>
    <row r="22" spans="1:18" x14ac:dyDescent="0.25">
      <c r="A22" s="422"/>
      <c r="B22" s="422"/>
      <c r="C22" s="422"/>
      <c r="D22" s="422"/>
      <c r="E22" s="422"/>
      <c r="F22" s="422"/>
      <c r="G22" s="422"/>
      <c r="H22" s="422"/>
      <c r="I22" s="422"/>
      <c r="J22" s="422"/>
      <c r="K22" s="422"/>
      <c r="L22" s="422"/>
      <c r="M22" s="422"/>
      <c r="N22" s="422"/>
      <c r="O22" s="432"/>
      <c r="P22" s="422"/>
    </row>
  </sheetData>
  <sheetProtection sheet="1" objects="1" scenarios="1"/>
  <mergeCells count="14">
    <mergeCell ref="C5:L5"/>
    <mergeCell ref="C19:E19"/>
    <mergeCell ref="C10:E10"/>
    <mergeCell ref="C9:E9"/>
    <mergeCell ref="C11:E11"/>
    <mergeCell ref="C12:E12"/>
    <mergeCell ref="C13:E13"/>
    <mergeCell ref="C14:E14"/>
    <mergeCell ref="C15:E15"/>
    <mergeCell ref="C16:E16"/>
    <mergeCell ref="C17:E17"/>
    <mergeCell ref="C18:E18"/>
    <mergeCell ref="C7:E7"/>
    <mergeCell ref="C8:E8"/>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3" id="{9E7226B3-1067-417A-A4CA-EACC958E7A86}">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G3</xm:sqref>
        </x14:conditionalFormatting>
        <x14:conditionalFormatting xmlns:xm="http://schemas.microsoft.com/office/excel/2006/main">
          <x14:cfRule type="iconSet" priority="2" id="{819A0D45-1B91-4729-8FFB-B5819B3F6A49}">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J3:L3</xm:sqref>
        </x14:conditionalFormatting>
        <x14:conditionalFormatting xmlns:xm="http://schemas.microsoft.com/office/excel/2006/main">
          <x14:cfRule type="iconSet" priority="1" id="{2AA324E3-BA02-40F5-939C-5D2DB0A2F2A7}">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I3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W415"/>
  <sheetViews>
    <sheetView showGridLines="0" tabSelected="1" zoomScaleNormal="100" workbookViewId="0">
      <selection activeCell="D2" sqref="D2"/>
    </sheetView>
  </sheetViews>
  <sheetFormatPr defaultColWidth="9.2109375" defaultRowHeight="14" customHeight="1" x14ac:dyDescent="0.25"/>
  <cols>
    <col min="1" max="2" width="1.640625" style="303" customWidth="1"/>
    <col min="3" max="3" width="2.640625" style="303" customWidth="1"/>
    <col min="4" max="5" width="15.640625" style="303" customWidth="1"/>
    <col min="6" max="6" width="5.640625" style="303" customWidth="1"/>
    <col min="7" max="7" width="2.640625" style="303" customWidth="1"/>
    <col min="8" max="9" width="15.640625" style="303" customWidth="1"/>
    <col min="10" max="11" width="5.640625" style="303" customWidth="1"/>
    <col min="12" max="12" width="11.0703125" style="303" customWidth="1"/>
    <col min="13" max="13" width="2.640625" style="303" customWidth="1"/>
    <col min="14" max="16" width="15.640625" style="303" customWidth="1"/>
    <col min="17" max="17" width="1.640625" style="303" customWidth="1"/>
    <col min="18" max="18" width="1.640625" style="521" customWidth="1"/>
    <col min="19" max="19" width="1.640625" style="303" customWidth="1"/>
    <col min="20" max="20" width="32.78515625" style="303" customWidth="1"/>
    <col min="21" max="21" width="2.640625" style="303" customWidth="1"/>
    <col min="22" max="22" width="1.640625" style="303" customWidth="1"/>
    <col min="23" max="23" width="1.640625" style="521" customWidth="1"/>
    <col min="24" max="16384" width="9.2109375" style="433"/>
  </cols>
  <sheetData>
    <row r="1" spans="1:23" s="303" customFormat="1" ht="14" customHeight="1" x14ac:dyDescent="0.25">
      <c r="A1" s="297"/>
      <c r="B1" s="297"/>
      <c r="C1" s="297"/>
      <c r="D1" s="297"/>
      <c r="E1" s="297"/>
      <c r="F1" s="297"/>
      <c r="G1" s="297"/>
      <c r="H1" s="297"/>
      <c r="I1" s="297"/>
      <c r="J1" s="297"/>
      <c r="K1" s="297"/>
      <c r="L1" s="297"/>
      <c r="M1" s="297"/>
      <c r="N1" s="297"/>
      <c r="O1" s="297"/>
      <c r="P1" s="297"/>
      <c r="Q1" s="297"/>
      <c r="R1" s="467"/>
      <c r="S1" s="297"/>
      <c r="T1" s="297"/>
      <c r="U1" s="297"/>
      <c r="V1" s="297"/>
      <c r="W1" s="467"/>
    </row>
    <row r="2" spans="1:23" s="448" customFormat="1" ht="18" customHeight="1" x14ac:dyDescent="0.25">
      <c r="A2" s="441"/>
      <c r="B2" s="305"/>
      <c r="C2" s="307"/>
      <c r="D2" s="307"/>
      <c r="E2" s="307"/>
      <c r="F2" s="307"/>
      <c r="G2" s="307"/>
      <c r="H2" s="307"/>
      <c r="I2" s="307"/>
      <c r="J2" s="307"/>
      <c r="K2" s="307"/>
      <c r="L2" s="307"/>
      <c r="M2" s="307"/>
      <c r="N2" s="307"/>
      <c r="O2" s="307"/>
      <c r="P2" s="307"/>
      <c r="Q2" s="675"/>
      <c r="R2" s="467"/>
      <c r="S2" s="297"/>
      <c r="T2" s="297"/>
      <c r="U2" s="297"/>
      <c r="V2" s="297"/>
      <c r="W2" s="467"/>
    </row>
    <row r="3" spans="1:23" s="303" customFormat="1" ht="18" customHeight="1" x14ac:dyDescent="0.25">
      <c r="A3" s="297"/>
      <c r="B3" s="323"/>
      <c r="C3" s="451"/>
      <c r="D3" s="451"/>
      <c r="E3" s="451"/>
      <c r="F3" s="451"/>
      <c r="G3" s="451"/>
      <c r="H3" s="451"/>
      <c r="I3" s="451"/>
      <c r="J3" s="451"/>
      <c r="K3" s="451"/>
      <c r="L3" s="451"/>
      <c r="M3" s="451"/>
      <c r="N3" s="451"/>
      <c r="O3" s="451"/>
      <c r="P3" s="451"/>
      <c r="Q3" s="466"/>
      <c r="R3" s="467"/>
      <c r="S3" s="297"/>
      <c r="T3" s="297"/>
      <c r="U3" s="297"/>
      <c r="V3" s="297"/>
      <c r="W3" s="467"/>
    </row>
    <row r="4" spans="1:23" s="303" customFormat="1" ht="30" customHeight="1" x14ac:dyDescent="0.25">
      <c r="A4" s="297"/>
      <c r="B4" s="323"/>
      <c r="C4" s="451"/>
      <c r="D4" s="676" t="str">
        <f>IF(VLOOKUP("KM50",Languages!$A:$D,1,TRUE)="KM50",VLOOKUP("KM50",Languages!$A:$D,Kybermittari!$C$7,TRUE),NA())</f>
        <v>Vertailutietojen tuonti ja arviointitulosten vienti</v>
      </c>
      <c r="E4" s="451"/>
      <c r="F4" s="451"/>
      <c r="G4" s="451"/>
      <c r="H4" s="451"/>
      <c r="I4" s="451"/>
      <c r="J4" s="451"/>
      <c r="K4" s="451"/>
      <c r="L4" s="451"/>
      <c r="M4" s="451"/>
      <c r="N4" s="451"/>
      <c r="O4" s="451"/>
      <c r="P4" s="451"/>
      <c r="Q4" s="466"/>
      <c r="R4" s="467"/>
      <c r="S4" s="297"/>
      <c r="T4" s="297"/>
      <c r="U4" s="297"/>
      <c r="V4" s="297"/>
      <c r="W4" s="467"/>
    </row>
    <row r="5" spans="1:23" s="303" customFormat="1" ht="14" customHeight="1" x14ac:dyDescent="0.25">
      <c r="A5" s="297"/>
      <c r="B5" s="323"/>
      <c r="C5" s="451"/>
      <c r="D5" s="451"/>
      <c r="E5" s="451"/>
      <c r="F5" s="451"/>
      <c r="G5" s="451"/>
      <c r="H5" s="451"/>
      <c r="I5" s="451"/>
      <c r="J5" s="451"/>
      <c r="K5" s="451"/>
      <c r="L5" s="451"/>
      <c r="M5" s="451"/>
      <c r="N5" s="451"/>
      <c r="O5" s="451"/>
      <c r="P5" s="451"/>
      <c r="Q5" s="466"/>
      <c r="R5" s="467"/>
      <c r="S5" s="297"/>
      <c r="T5" s="297"/>
      <c r="U5" s="297"/>
      <c r="V5" s="297"/>
      <c r="W5" s="467"/>
    </row>
    <row r="6" spans="1:23" s="681" customFormat="1" ht="14" customHeight="1" x14ac:dyDescent="0.25">
      <c r="A6" s="297"/>
      <c r="B6" s="677"/>
      <c r="C6" s="678"/>
      <c r="D6" s="787" t="str">
        <f>IF(VLOOKUP("KM51",Languages!$A:$D,1,TRUE)="KM51",VLOOKUP("KM51",Languages!$A:$D,Kybermittari!$C$7,TRUE),NA())</f>
        <v>Aiemmat arviointitulokset</v>
      </c>
      <c r="E6" s="787"/>
      <c r="F6" s="787"/>
      <c r="G6" s="679"/>
      <c r="H6" s="787" t="str">
        <f>IF(VLOOKUP("KM52",Languages!$A:$D,1,TRUE)="KM52",VLOOKUP("KM52",Languages!$A:$D,Kybermittari!$C$7,TRUE),NA())</f>
        <v>Vertailutulokset</v>
      </c>
      <c r="I6" s="787"/>
      <c r="J6" s="787"/>
      <c r="K6" s="726"/>
      <c r="L6" s="726"/>
      <c r="M6" s="679"/>
      <c r="N6" s="783" t="str">
        <f>IF(VLOOKUP("KM53",Languages!$A:$D,1,TRUE)="KM53",VLOOKUP("KM53",Languages!$A:$D,Kybermittari!$C$7,TRUE),NA())</f>
        <v>Arviointitulosten vienti</v>
      </c>
      <c r="O6" s="783"/>
      <c r="P6" s="725"/>
      <c r="Q6" s="680"/>
      <c r="R6" s="586"/>
      <c r="S6" s="297"/>
      <c r="T6" s="297"/>
      <c r="U6" s="297"/>
      <c r="V6" s="297"/>
      <c r="W6" s="586"/>
    </row>
    <row r="7" spans="1:23" s="303" customFormat="1" ht="23" customHeight="1" x14ac:dyDescent="0.25">
      <c r="A7" s="297"/>
      <c r="B7" s="323"/>
      <c r="C7" s="451"/>
      <c r="D7" s="788" t="str">
        <f>IF(VLOOKUP("KM54",Languages!$A:$D,1,TRUE)="KM54",VLOOKUP("KM54",Languages!$A:$D,Kybermittari!$C$7,TRUE),NA())</f>
        <v>Tähän taulukkoon syötetyt vertailutiedot esitetään raporteissa.</v>
      </c>
      <c r="E7" s="788"/>
      <c r="F7" s="788"/>
      <c r="G7" s="679"/>
      <c r="H7" s="788" t="str">
        <f>IF(VLOOKUP("KM55",Languages!$A:$D,1,TRUE)="KM55",VLOOKUP("KM55",Languages!$A:$D,Kybermittari!$C$7,TRUE),NA())</f>
        <v>Tähän taulukkoon syötetyt vertailutiedot esitetään raporteissa.</v>
      </c>
      <c r="I7" s="788"/>
      <c r="J7" s="788"/>
      <c r="K7" s="727"/>
      <c r="L7" s="727"/>
      <c r="M7" s="679"/>
      <c r="N7" s="781" t="str">
        <f>IF(VLOOKUP("KM56",Languages!$A:$D,1,TRUE)="KM56",VLOOKUP("KM56",Languages!$A:$D,Kybermittari!$C$7,TRUE),NA())</f>
        <v>Tätä taulukkoa voidaan käyttää arviointitulosten siirtämiseen tai lähettämiseen.</v>
      </c>
      <c r="O7" s="782"/>
      <c r="P7" s="724"/>
      <c r="Q7" s="466"/>
      <c r="R7" s="467"/>
      <c r="S7" s="297"/>
      <c r="T7" s="297"/>
      <c r="U7" s="297"/>
      <c r="V7" s="297"/>
      <c r="W7" s="467"/>
    </row>
    <row r="8" spans="1:23" s="303" customFormat="1" ht="14" customHeight="1" thickBot="1" x14ac:dyDescent="0.3">
      <c r="A8" s="297"/>
      <c r="B8" s="323"/>
      <c r="C8" s="451"/>
      <c r="D8" s="451"/>
      <c r="E8" s="451"/>
      <c r="F8" s="451"/>
      <c r="G8" s="451"/>
      <c r="H8" s="451"/>
      <c r="I8" s="451"/>
      <c r="J8" s="451"/>
      <c r="K8" s="451"/>
      <c r="L8" s="451"/>
      <c r="M8" s="451"/>
      <c r="N8" s="682"/>
      <c r="O8" s="682"/>
      <c r="P8" s="682"/>
      <c r="Q8" s="466"/>
      <c r="R8" s="586"/>
      <c r="S8" s="683"/>
      <c r="T8" s="684"/>
      <c r="U8" s="684"/>
      <c r="V8" s="685"/>
      <c r="W8" s="586"/>
    </row>
    <row r="9" spans="1:23" ht="14" customHeight="1" thickBot="1" x14ac:dyDescent="0.3">
      <c r="A9" s="332"/>
      <c r="B9" s="461"/>
      <c r="C9" s="686"/>
      <c r="D9" s="785" t="str">
        <f>IF(VLOOKUP("KM60",Languages!$A:$D,1,TRUE)="KM60",VLOOKUP("KM60",Languages!$A:$D,Kybermittari!$C$7,TRUE),NA())</f>
        <v>Kybermittarin kypsyysraportti (R2)</v>
      </c>
      <c r="E9" s="786"/>
      <c r="F9" s="686"/>
      <c r="G9" s="686"/>
      <c r="H9" s="785" t="str">
        <f>IF(VLOOKUP("KM60",Languages!$A:$D,1,TRUE)="KM60",VLOOKUP("KM60",Languages!$A:$D,Kybermittari!$C$7,TRUE),NA())</f>
        <v>Kybermittarin kypsyysraportti (R2)</v>
      </c>
      <c r="I9" s="786"/>
      <c r="J9" s="686"/>
      <c r="K9" s="686"/>
      <c r="L9" s="686"/>
      <c r="M9" s="686"/>
      <c r="N9" s="716" t="s">
        <v>34</v>
      </c>
      <c r="O9" s="717" t="s">
        <v>982</v>
      </c>
      <c r="P9" s="716" t="s">
        <v>2743</v>
      </c>
      <c r="Q9" s="466"/>
      <c r="R9" s="467"/>
      <c r="S9" s="687"/>
      <c r="T9" s="688" t="str">
        <f>IF(VLOOKUP("KM58",Languages!$A:$D,1,TRUE)="KM58",VLOOKUP("KM58",Languages!$A:$D,Kybermittari!$C$7,TRUE),NA())</f>
        <v>Pikaohjeet tulosten vientiin (Microsoft Office Excel 2016)</v>
      </c>
      <c r="U9" s="686"/>
      <c r="V9" s="466"/>
      <c r="W9" s="467"/>
    </row>
    <row r="10" spans="1:23" ht="14" customHeight="1" x14ac:dyDescent="0.25">
      <c r="A10" s="332"/>
      <c r="B10" s="461"/>
      <c r="C10" s="686"/>
      <c r="J10" s="686"/>
      <c r="K10" s="686"/>
      <c r="L10" s="686"/>
      <c r="M10" s="686"/>
      <c r="N10" s="689" t="s">
        <v>1529</v>
      </c>
      <c r="O10" s="690">
        <f>Kybermittari!H4</f>
        <v>0</v>
      </c>
      <c r="P10" s="690" t="e">
        <f t="shared" ref="P10:P73" ca="1" si="0">VLOOKUP($M10, INDIRECT("'"&amp;$L10&amp;"'!"&amp;"$D:$J"), 7,FALSE)</f>
        <v>#REF!</v>
      </c>
      <c r="Q10" s="466"/>
      <c r="R10" s="467"/>
      <c r="S10" s="687"/>
      <c r="T10" s="691"/>
      <c r="U10" s="686"/>
      <c r="V10" s="466"/>
      <c r="W10" s="467"/>
    </row>
    <row r="11" spans="1:23" ht="14" customHeight="1" thickBot="1" x14ac:dyDescent="0.3">
      <c r="A11" s="332"/>
      <c r="B11" s="660"/>
      <c r="C11" s="692"/>
      <c r="D11" s="693" t="s">
        <v>34</v>
      </c>
      <c r="E11" s="707" t="s">
        <v>982</v>
      </c>
      <c r="F11" s="686"/>
      <c r="G11" s="686"/>
      <c r="H11" s="693" t="s">
        <v>34</v>
      </c>
      <c r="I11" s="707" t="s">
        <v>982</v>
      </c>
      <c r="J11" s="692"/>
      <c r="K11" s="692"/>
      <c r="L11" s="692"/>
      <c r="M11" s="692"/>
      <c r="N11" s="689" t="s">
        <v>1526</v>
      </c>
      <c r="O11" s="690">
        <f>Kybermittari!E11</f>
        <v>0</v>
      </c>
      <c r="P11" s="690" t="e">
        <f t="shared" ca="1" si="0"/>
        <v>#REF!</v>
      </c>
      <c r="Q11" s="466"/>
      <c r="R11" s="467"/>
      <c r="S11" s="687"/>
      <c r="T11" s="784" t="str">
        <f>IF(VLOOKUP("KM59",Languages!$A:$D,1,TRUE)="KM59",VLOOKUP("KM59",Languages!$A:$D,Kybermittari!$C$7,TRUE),NA())</f>
        <v>1) Aseta Kehitystyökalut-valikko näkyville:
- Valitse Tiedosto -välilehdessä Asetukset -&gt; Mukauta valinta nauhaa;
- Valitse Mukauta valintanauhaa -alueen Päävälilehdet-kohdasta Kehitystyökalut-valintaruutu;
2) Vie tulokset työkalusta .xml-muodossa
- Valitse ylävalikosta Kehitystyökalut -&gt; Vie.
- Tallenna .xml-tiedosto haluamallasi tiedostonimellä.</v>
      </c>
      <c r="U11" s="692"/>
      <c r="V11" s="466"/>
      <c r="W11" s="467"/>
    </row>
    <row r="12" spans="1:23" ht="14" customHeight="1" x14ac:dyDescent="0.25">
      <c r="A12" s="332"/>
      <c r="B12" s="660"/>
      <c r="C12" s="692"/>
      <c r="D12" s="694" t="s">
        <v>60</v>
      </c>
      <c r="E12" s="710"/>
      <c r="F12" s="686"/>
      <c r="G12" s="686"/>
      <c r="H12" s="694" t="s">
        <v>60</v>
      </c>
      <c r="I12" s="710"/>
      <c r="J12" s="692"/>
      <c r="K12" s="692"/>
      <c r="L12" s="692"/>
      <c r="M12" s="692"/>
      <c r="N12" s="689" t="s">
        <v>1527</v>
      </c>
      <c r="O12" s="690">
        <f>Kybermittari!E12</f>
        <v>0</v>
      </c>
      <c r="P12" s="690" t="e">
        <f t="shared" ca="1" si="0"/>
        <v>#REF!</v>
      </c>
      <c r="Q12" s="466"/>
      <c r="R12" s="467"/>
      <c r="S12" s="687"/>
      <c r="T12" s="784"/>
      <c r="U12" s="692"/>
      <c r="V12" s="466"/>
      <c r="W12" s="467"/>
    </row>
    <row r="13" spans="1:23" ht="14" customHeight="1" x14ac:dyDescent="0.25">
      <c r="A13" s="332"/>
      <c r="B13" s="461"/>
      <c r="C13" s="686"/>
      <c r="D13" s="694" t="s">
        <v>0</v>
      </c>
      <c r="E13" s="709"/>
      <c r="F13" s="692"/>
      <c r="G13" s="692"/>
      <c r="H13" s="694" t="s">
        <v>0</v>
      </c>
      <c r="I13" s="709"/>
      <c r="J13" s="686"/>
      <c r="K13" s="686"/>
      <c r="L13" s="686"/>
      <c r="M13" s="686"/>
      <c r="N13" s="689" t="s">
        <v>1528</v>
      </c>
      <c r="O13" s="690">
        <f>Kybermittari!E13</f>
        <v>0</v>
      </c>
      <c r="P13" s="690" t="e">
        <f t="shared" ca="1" si="0"/>
        <v>#REF!</v>
      </c>
      <c r="Q13" s="466"/>
      <c r="R13" s="467"/>
      <c r="S13" s="687"/>
      <c r="T13" s="784"/>
      <c r="U13" s="686"/>
      <c r="V13" s="466"/>
      <c r="W13" s="467"/>
    </row>
    <row r="14" spans="1:23" ht="14" customHeight="1" x14ac:dyDescent="0.25">
      <c r="A14" s="332"/>
      <c r="B14" s="461"/>
      <c r="C14" s="686"/>
      <c r="D14" s="694" t="s">
        <v>51</v>
      </c>
      <c r="E14" s="711"/>
      <c r="F14" s="692"/>
      <c r="G14" s="692"/>
      <c r="H14" s="694" t="s">
        <v>51</v>
      </c>
      <c r="I14" s="711"/>
      <c r="J14" s="686"/>
      <c r="K14" s="686"/>
      <c r="L14" s="686"/>
      <c r="M14" s="686"/>
      <c r="N14" s="695" t="s">
        <v>0</v>
      </c>
      <c r="O14" s="696">
        <f ca="1">IF(VLOOKUP($N14,Data!$K:$O,1,TRUE)=$N14,VLOOKUP($N14,Data!$K:$O,5,TRUE),NA())</f>
        <v>0</v>
      </c>
      <c r="P14" s="696" t="e">
        <f t="shared" ca="1" si="0"/>
        <v>#REF!</v>
      </c>
      <c r="Q14" s="466"/>
      <c r="R14" s="467"/>
      <c r="S14" s="687"/>
      <c r="T14" s="784"/>
      <c r="U14" s="686"/>
      <c r="V14" s="466"/>
      <c r="W14" s="467"/>
    </row>
    <row r="15" spans="1:23" ht="14" customHeight="1" x14ac:dyDescent="0.25">
      <c r="A15" s="332"/>
      <c r="B15" s="461"/>
      <c r="C15" s="686"/>
      <c r="D15" s="694" t="s">
        <v>64</v>
      </c>
      <c r="E15" s="709"/>
      <c r="F15" s="686"/>
      <c r="G15" s="686"/>
      <c r="H15" s="694" t="s">
        <v>64</v>
      </c>
      <c r="I15" s="709"/>
      <c r="J15" s="686"/>
      <c r="K15" s="686"/>
      <c r="L15" s="686"/>
      <c r="M15" s="686"/>
      <c r="N15" s="695" t="s">
        <v>43</v>
      </c>
      <c r="O15" s="696">
        <f ca="1">IF(VLOOKUP($N15,Data!$K:$O,1,TRUE)=$N15,VLOOKUP($N15,Data!$K:$O,5,TRUE),NA())</f>
        <v>0</v>
      </c>
      <c r="P15" s="696" t="e">
        <f t="shared" ca="1" si="0"/>
        <v>#REF!</v>
      </c>
      <c r="Q15" s="466"/>
      <c r="R15" s="467"/>
      <c r="S15" s="687"/>
      <c r="T15" s="784"/>
      <c r="U15" s="686"/>
      <c r="V15" s="466"/>
      <c r="W15" s="467"/>
    </row>
    <row r="16" spans="1:23" ht="14" customHeight="1" x14ac:dyDescent="0.25">
      <c r="A16" s="332"/>
      <c r="B16" s="461"/>
      <c r="C16" s="686"/>
      <c r="D16" s="694" t="s">
        <v>69</v>
      </c>
      <c r="E16" s="711"/>
      <c r="F16" s="686"/>
      <c r="G16" s="686"/>
      <c r="H16" s="694" t="s">
        <v>69</v>
      </c>
      <c r="I16" s="711"/>
      <c r="J16" s="686"/>
      <c r="K16" s="686"/>
      <c r="L16" s="686"/>
      <c r="M16" s="686"/>
      <c r="N16" s="695" t="s">
        <v>47</v>
      </c>
      <c r="O16" s="696">
        <f ca="1">IF(VLOOKUP($N16,Data!$K:$O,1,TRUE)=$N16,VLOOKUP($N16,Data!$K:$O,5,TRUE),NA())</f>
        <v>1</v>
      </c>
      <c r="P16" s="696" t="e">
        <f t="shared" ca="1" si="0"/>
        <v>#REF!</v>
      </c>
      <c r="Q16" s="466"/>
      <c r="R16" s="467"/>
      <c r="S16" s="687"/>
      <c r="T16" s="784"/>
      <c r="U16" s="686"/>
      <c r="V16" s="466"/>
      <c r="W16" s="467"/>
    </row>
    <row r="17" spans="1:23" ht="14" customHeight="1" x14ac:dyDescent="0.25">
      <c r="A17" s="332"/>
      <c r="B17" s="461"/>
      <c r="C17" s="686"/>
      <c r="D17" s="694" t="s">
        <v>72</v>
      </c>
      <c r="E17" s="709"/>
      <c r="F17" s="686"/>
      <c r="G17" s="686"/>
      <c r="H17" s="694" t="s">
        <v>72</v>
      </c>
      <c r="I17" s="709"/>
      <c r="J17" s="686"/>
      <c r="K17" s="686"/>
      <c r="L17" s="686"/>
      <c r="M17" s="686"/>
      <c r="N17" s="695" t="s">
        <v>49</v>
      </c>
      <c r="O17" s="696">
        <f ca="1">IF(VLOOKUP($N17,Data!$K:$O,1,TRUE)=$N17,VLOOKUP($N17,Data!$K:$O,5,TRUE),NA())</f>
        <v>1</v>
      </c>
      <c r="P17" s="696" t="e">
        <f t="shared" ca="1" si="0"/>
        <v>#REF!</v>
      </c>
      <c r="Q17" s="466"/>
      <c r="R17" s="467"/>
      <c r="S17" s="687"/>
      <c r="T17" s="784"/>
      <c r="U17" s="686"/>
      <c r="V17" s="466"/>
      <c r="W17" s="467"/>
    </row>
    <row r="18" spans="1:23" ht="14" customHeight="1" x14ac:dyDescent="0.25">
      <c r="A18" s="332"/>
      <c r="B18" s="461"/>
      <c r="C18" s="686"/>
      <c r="D18" s="694" t="s">
        <v>74</v>
      </c>
      <c r="E18" s="711"/>
      <c r="F18" s="686"/>
      <c r="G18" s="686"/>
      <c r="H18" s="694" t="s">
        <v>74</v>
      </c>
      <c r="I18" s="711"/>
      <c r="J18" s="686"/>
      <c r="K18" s="686"/>
      <c r="L18" s="686"/>
      <c r="M18" s="686"/>
      <c r="N18" s="695" t="s">
        <v>51</v>
      </c>
      <c r="O18" s="696">
        <f ca="1">IF(VLOOKUP($N18,Data!$K:$O,1,TRUE)=$N18,VLOOKUP($N18,Data!$K:$O,5,TRUE),NA())</f>
        <v>0</v>
      </c>
      <c r="P18" s="696" t="e">
        <f t="shared" ca="1" si="0"/>
        <v>#REF!</v>
      </c>
      <c r="Q18" s="466"/>
      <c r="R18" s="467"/>
      <c r="S18" s="687"/>
      <c r="T18" s="784"/>
      <c r="U18" s="686"/>
      <c r="V18" s="466"/>
      <c r="W18" s="467"/>
    </row>
    <row r="19" spans="1:23" ht="14" customHeight="1" x14ac:dyDescent="0.25">
      <c r="A19" s="332"/>
      <c r="B19" s="461"/>
      <c r="C19" s="686"/>
      <c r="D19" s="694" t="s">
        <v>77</v>
      </c>
      <c r="E19" s="709"/>
      <c r="F19" s="686"/>
      <c r="G19" s="686"/>
      <c r="H19" s="694" t="s">
        <v>77</v>
      </c>
      <c r="I19" s="709"/>
      <c r="J19" s="686"/>
      <c r="K19" s="686"/>
      <c r="L19" s="686"/>
      <c r="M19" s="686"/>
      <c r="N19" s="695" t="s">
        <v>53</v>
      </c>
      <c r="O19" s="696">
        <f ca="1">IF(VLOOKUP($N19,Data!$K:$O,1,TRUE)=$N19,VLOOKUP($N19,Data!$K:$O,5,TRUE),NA())</f>
        <v>0</v>
      </c>
      <c r="P19" s="696" t="e">
        <f t="shared" ca="1" si="0"/>
        <v>#REF!</v>
      </c>
      <c r="Q19" s="466"/>
      <c r="R19" s="467"/>
      <c r="S19" s="687"/>
      <c r="T19" s="784"/>
      <c r="U19" s="686"/>
      <c r="V19" s="466"/>
      <c r="W19" s="467"/>
    </row>
    <row r="20" spans="1:23" ht="14" customHeight="1" x14ac:dyDescent="0.25">
      <c r="A20" s="332"/>
      <c r="B20" s="461"/>
      <c r="C20" s="686"/>
      <c r="D20" s="694" t="s">
        <v>80</v>
      </c>
      <c r="E20" s="711"/>
      <c r="F20" s="686"/>
      <c r="G20" s="686"/>
      <c r="H20" s="694" t="s">
        <v>80</v>
      </c>
      <c r="I20" s="711"/>
      <c r="J20" s="686"/>
      <c r="K20" s="686"/>
      <c r="L20" s="686"/>
      <c r="M20" s="686"/>
      <c r="N20" s="695" t="s">
        <v>55</v>
      </c>
      <c r="O20" s="696">
        <f ca="1">IF(VLOOKUP($N20,Data!$K:$O,1,TRUE)=$N20,VLOOKUP($N20,Data!$K:$O,5,TRUE),NA())</f>
        <v>0</v>
      </c>
      <c r="P20" s="696" t="e">
        <f t="shared" ca="1" si="0"/>
        <v>#REF!</v>
      </c>
      <c r="Q20" s="466"/>
      <c r="R20" s="467"/>
      <c r="S20" s="687"/>
      <c r="T20" s="784"/>
      <c r="U20" s="686"/>
      <c r="V20" s="466"/>
      <c r="W20" s="467"/>
    </row>
    <row r="21" spans="1:23" ht="14" customHeight="1" x14ac:dyDescent="0.25">
      <c r="A21" s="332"/>
      <c r="B21" s="461"/>
      <c r="C21" s="686"/>
      <c r="D21" s="694" t="s">
        <v>83</v>
      </c>
      <c r="E21" s="709"/>
      <c r="F21" s="686"/>
      <c r="G21" s="686"/>
      <c r="H21" s="694" t="s">
        <v>83</v>
      </c>
      <c r="I21" s="709"/>
      <c r="J21" s="686"/>
      <c r="K21" s="686"/>
      <c r="L21" s="686"/>
      <c r="M21" s="686"/>
      <c r="N21" s="695" t="s">
        <v>57</v>
      </c>
      <c r="O21" s="696">
        <f ca="1">IF(VLOOKUP($N21,Data!$K:$O,1,TRUE)=$N21,VLOOKUP($N21,Data!$K:$O,5,TRUE),NA())</f>
        <v>0</v>
      </c>
      <c r="P21" s="696" t="e">
        <f t="shared" ca="1" si="0"/>
        <v>#REF!</v>
      </c>
      <c r="Q21" s="466"/>
      <c r="R21" s="467"/>
      <c r="S21" s="687"/>
      <c r="T21" s="784"/>
      <c r="U21" s="686"/>
      <c r="V21" s="466"/>
      <c r="W21" s="467"/>
    </row>
    <row r="22" spans="1:23" ht="14" customHeight="1" thickBot="1" x14ac:dyDescent="0.3">
      <c r="A22" s="332"/>
      <c r="B22" s="461"/>
      <c r="C22" s="686"/>
      <c r="D22" s="694" t="s">
        <v>85</v>
      </c>
      <c r="E22" s="712"/>
      <c r="F22" s="686"/>
      <c r="G22" s="686"/>
      <c r="H22" s="694" t="s">
        <v>85</v>
      </c>
      <c r="I22" s="712"/>
      <c r="J22" s="686"/>
      <c r="K22" s="686"/>
      <c r="L22" s="686"/>
      <c r="M22" s="686"/>
      <c r="N22" s="695" t="s">
        <v>59</v>
      </c>
      <c r="O22" s="696">
        <f ca="1">IF(VLOOKUP($N22,Data!$K:$O,1,TRUE)=$N22,VLOOKUP($N22,Data!$K:$O,5,TRUE),NA())</f>
        <v>0</v>
      </c>
      <c r="P22" s="696" t="e">
        <f t="shared" ca="1" si="0"/>
        <v>#REF!</v>
      </c>
      <c r="Q22" s="466"/>
      <c r="R22" s="467"/>
      <c r="S22" s="687"/>
      <c r="T22" s="784"/>
      <c r="U22" s="686"/>
      <c r="V22" s="466"/>
      <c r="W22" s="467"/>
    </row>
    <row r="23" spans="1:23" ht="14" customHeight="1" thickBot="1" x14ac:dyDescent="0.3">
      <c r="A23" s="332"/>
      <c r="B23" s="461"/>
      <c r="C23" s="686"/>
      <c r="J23" s="686"/>
      <c r="K23" s="686"/>
      <c r="L23" s="686"/>
      <c r="M23" s="686"/>
      <c r="N23" s="695" t="s">
        <v>62</v>
      </c>
      <c r="O23" s="696">
        <f ca="1">IF(VLOOKUP($N23,Data!$K:$O,1,TRUE)=$N23,VLOOKUP($N23,Data!$K:$O,5,TRUE),NA())</f>
        <v>1</v>
      </c>
      <c r="P23" s="696" t="e">
        <f t="shared" ca="1" si="0"/>
        <v>#REF!</v>
      </c>
      <c r="Q23" s="466"/>
      <c r="R23" s="467"/>
      <c r="S23" s="687"/>
      <c r="T23" s="784"/>
      <c r="U23" s="686"/>
      <c r="V23" s="466"/>
      <c r="W23" s="467"/>
    </row>
    <row r="24" spans="1:23" ht="14" customHeight="1" thickBot="1" x14ac:dyDescent="0.3">
      <c r="A24" s="332"/>
      <c r="B24" s="461"/>
      <c r="C24" s="686"/>
      <c r="D24" s="785" t="str">
        <f>IF(VLOOKUP("KM61",Languages!$A:$D,1,TRUE)="KM61",VLOOKUP("KM61",Languages!$A:$D,Kybermittari!$C$7,TRUE),NA())</f>
        <v>Johdon kypsyysraportti (R1)</v>
      </c>
      <c r="E24" s="786"/>
      <c r="F24" s="686"/>
      <c r="G24" s="686"/>
      <c r="H24" s="785" t="str">
        <f>IF(VLOOKUP("KM61",Languages!$A:$D,1,TRUE)="KM61",VLOOKUP("KM61",Languages!$A:$D,Kybermittari!$C$7,TRUE),NA())</f>
        <v>Johdon kypsyysraportti (R1)</v>
      </c>
      <c r="I24" s="786"/>
      <c r="J24" s="686"/>
      <c r="K24" s="686"/>
      <c r="L24" s="686"/>
      <c r="M24" s="686"/>
      <c r="N24" s="695" t="s">
        <v>64</v>
      </c>
      <c r="O24" s="696">
        <f ca="1">IF(VLOOKUP($N24,Data!$K:$O,1,TRUE)=$N24,VLOOKUP($N24,Data!$K:$O,5,TRUE),NA())</f>
        <v>0</v>
      </c>
      <c r="P24" s="696" t="e">
        <f t="shared" ca="1" si="0"/>
        <v>#REF!</v>
      </c>
      <c r="Q24" s="466"/>
      <c r="R24" s="467"/>
      <c r="S24" s="687"/>
      <c r="T24" s="784"/>
      <c r="U24" s="686"/>
      <c r="V24" s="466"/>
      <c r="W24" s="467"/>
    </row>
    <row r="25" spans="1:23" ht="14" customHeight="1" x14ac:dyDescent="0.25">
      <c r="A25" s="332"/>
      <c r="B25" s="461"/>
      <c r="C25" s="686"/>
      <c r="F25" s="686"/>
      <c r="G25" s="686"/>
      <c r="H25" s="697"/>
      <c r="J25" s="686"/>
      <c r="K25" s="686"/>
      <c r="L25" s="686"/>
      <c r="M25" s="686"/>
      <c r="N25" s="695" t="s">
        <v>66</v>
      </c>
      <c r="O25" s="696">
        <f ca="1">IF(VLOOKUP($N25,Data!$K:$O,1,TRUE)=$N25,VLOOKUP($N25,Data!$K:$O,5,TRUE),NA())</f>
        <v>0</v>
      </c>
      <c r="P25" s="696" t="e">
        <f t="shared" ca="1" si="0"/>
        <v>#REF!</v>
      </c>
      <c r="Q25" s="466"/>
      <c r="R25" s="467"/>
      <c r="S25" s="687"/>
      <c r="T25" s="784"/>
      <c r="U25" s="686"/>
      <c r="V25" s="466"/>
      <c r="W25" s="467"/>
    </row>
    <row r="26" spans="1:23" ht="14" customHeight="1" thickBot="1" x14ac:dyDescent="0.3">
      <c r="A26" s="332"/>
      <c r="B26" s="461"/>
      <c r="C26" s="686"/>
      <c r="D26" s="693" t="s">
        <v>34</v>
      </c>
      <c r="E26" s="707" t="s">
        <v>982</v>
      </c>
      <c r="F26" s="686"/>
      <c r="G26" s="686"/>
      <c r="H26" s="693" t="s">
        <v>34</v>
      </c>
      <c r="I26" s="707" t="s">
        <v>982</v>
      </c>
      <c r="J26" s="686"/>
      <c r="K26" s="686"/>
      <c r="L26" s="686"/>
      <c r="M26" s="686"/>
      <c r="N26" s="695" t="s">
        <v>68</v>
      </c>
      <c r="O26" s="696">
        <f ca="1">IF(VLOOKUP($N26,Data!$K:$O,1,TRUE)=$N26,VLOOKUP($N26,Data!$K:$O,5,TRUE),NA())</f>
        <v>0</v>
      </c>
      <c r="P26" s="696" t="e">
        <f t="shared" ca="1" si="0"/>
        <v>#REF!</v>
      </c>
      <c r="Q26" s="466"/>
      <c r="R26" s="467"/>
      <c r="S26" s="687"/>
      <c r="T26" s="784"/>
      <c r="U26" s="686"/>
      <c r="V26" s="466"/>
      <c r="W26" s="467"/>
    </row>
    <row r="27" spans="1:23" ht="14" customHeight="1" x14ac:dyDescent="0.25">
      <c r="A27" s="332"/>
      <c r="B27" s="461"/>
      <c r="C27" s="686"/>
      <c r="D27" s="694" t="s">
        <v>1285</v>
      </c>
      <c r="E27" s="713"/>
      <c r="F27" s="686"/>
      <c r="G27" s="686"/>
      <c r="H27" s="694" t="s">
        <v>1285</v>
      </c>
      <c r="I27" s="713"/>
      <c r="J27" s="686"/>
      <c r="K27" s="686"/>
      <c r="L27" s="686"/>
      <c r="M27" s="686"/>
      <c r="N27" s="695" t="s">
        <v>71</v>
      </c>
      <c r="O27" s="696">
        <f ca="1">IF(VLOOKUP($N27,Data!$K:$O,1,TRUE)=$N27,VLOOKUP($N27,Data!$K:$O,5,TRUE),NA())</f>
        <v>1</v>
      </c>
      <c r="P27" s="696" t="e">
        <f t="shared" ca="1" si="0"/>
        <v>#REF!</v>
      </c>
      <c r="Q27" s="466"/>
      <c r="R27" s="467"/>
      <c r="S27" s="687"/>
      <c r="T27" s="784"/>
      <c r="U27" s="686"/>
      <c r="V27" s="466"/>
      <c r="W27" s="467"/>
    </row>
    <row r="28" spans="1:23" ht="14" customHeight="1" x14ac:dyDescent="0.25">
      <c r="A28" s="332"/>
      <c r="B28" s="461"/>
      <c r="C28" s="686"/>
      <c r="D28" s="694" t="s">
        <v>1286</v>
      </c>
      <c r="E28" s="708"/>
      <c r="F28" s="686"/>
      <c r="G28" s="686"/>
      <c r="H28" s="694" t="s">
        <v>1286</v>
      </c>
      <c r="I28" s="708"/>
      <c r="J28" s="686"/>
      <c r="K28" s="686"/>
      <c r="L28" s="686"/>
      <c r="M28" s="686"/>
      <c r="N28" s="695" t="s">
        <v>69</v>
      </c>
      <c r="O28" s="696">
        <f ca="1">IF(VLOOKUP($N28,Data!$K:$O,1,TRUE)=$N28,VLOOKUP($N28,Data!$K:$O,5,TRUE),NA())</f>
        <v>0</v>
      </c>
      <c r="P28" s="696" t="e">
        <f t="shared" ca="1" si="0"/>
        <v>#REF!</v>
      </c>
      <c r="Q28" s="466"/>
      <c r="R28" s="467"/>
      <c r="S28" s="687"/>
      <c r="T28" s="784"/>
      <c r="U28" s="686"/>
      <c r="V28" s="466"/>
      <c r="W28" s="467"/>
    </row>
    <row r="29" spans="1:23" ht="14" customHeight="1" x14ac:dyDescent="0.25">
      <c r="A29" s="332"/>
      <c r="B29" s="461"/>
      <c r="C29" s="686"/>
      <c r="D29" s="694" t="s">
        <v>1287</v>
      </c>
      <c r="E29" s="714"/>
      <c r="F29" s="686"/>
      <c r="G29" s="686"/>
      <c r="H29" s="694" t="s">
        <v>1287</v>
      </c>
      <c r="I29" s="714"/>
      <c r="J29" s="686"/>
      <c r="K29" s="686"/>
      <c r="L29" s="686"/>
      <c r="M29" s="686"/>
      <c r="N29" s="695" t="s">
        <v>76</v>
      </c>
      <c r="O29" s="696">
        <f ca="1">IF(VLOOKUP($N29,Data!$K:$O,1,TRUE)=$N29,VLOOKUP($N29,Data!$K:$O,5,TRUE),NA())</f>
        <v>0</v>
      </c>
      <c r="P29" s="696" t="e">
        <f t="shared" ca="1" si="0"/>
        <v>#REF!</v>
      </c>
      <c r="Q29" s="466"/>
      <c r="R29" s="467"/>
      <c r="S29" s="687"/>
      <c r="T29" s="784"/>
      <c r="U29" s="686"/>
      <c r="V29" s="466"/>
      <c r="W29" s="467"/>
    </row>
    <row r="30" spans="1:23" ht="14" customHeight="1" x14ac:dyDescent="0.25">
      <c r="A30" s="332"/>
      <c r="B30" s="461"/>
      <c r="C30" s="686"/>
      <c r="D30" s="694" t="s">
        <v>1288</v>
      </c>
      <c r="E30" s="708"/>
      <c r="F30" s="686"/>
      <c r="G30" s="686"/>
      <c r="H30" s="694" t="s">
        <v>1288</v>
      </c>
      <c r="I30" s="708"/>
      <c r="J30" s="686"/>
      <c r="K30" s="686"/>
      <c r="L30" s="686"/>
      <c r="M30" s="686"/>
      <c r="N30" s="695" t="s">
        <v>79</v>
      </c>
      <c r="O30" s="696">
        <f ca="1">IF(VLOOKUP($N30,Data!$K:$O,1,TRUE)=$N30,VLOOKUP($N30,Data!$K:$O,5,TRUE),NA())</f>
        <v>0</v>
      </c>
      <c r="P30" s="696" t="e">
        <f t="shared" ca="1" si="0"/>
        <v>#REF!</v>
      </c>
      <c r="Q30" s="466"/>
      <c r="R30" s="467"/>
      <c r="S30" s="687"/>
      <c r="T30" s="784"/>
      <c r="U30" s="686"/>
      <c r="V30" s="466"/>
      <c r="W30" s="467"/>
    </row>
    <row r="31" spans="1:23" ht="14" customHeight="1" thickBot="1" x14ac:dyDescent="0.3">
      <c r="A31" s="332"/>
      <c r="B31" s="461"/>
      <c r="C31" s="686"/>
      <c r="D31" s="694" t="s">
        <v>1289</v>
      </c>
      <c r="E31" s="715"/>
      <c r="F31" s="686"/>
      <c r="G31" s="686"/>
      <c r="H31" s="694" t="s">
        <v>1289</v>
      </c>
      <c r="I31" s="715"/>
      <c r="J31" s="686"/>
      <c r="K31" s="686"/>
      <c r="L31" s="686"/>
      <c r="M31" s="686"/>
      <c r="N31" s="695" t="s">
        <v>82</v>
      </c>
      <c r="O31" s="696">
        <f ca="1">IF(VLOOKUP($N31,Data!$K:$O,1,TRUE)=$N31,VLOOKUP($N31,Data!$K:$O,5,TRUE),NA())</f>
        <v>1</v>
      </c>
      <c r="P31" s="696" t="e">
        <f t="shared" ca="1" si="0"/>
        <v>#REF!</v>
      </c>
      <c r="Q31" s="466"/>
      <c r="R31" s="467"/>
      <c r="S31" s="687"/>
      <c r="T31" s="784"/>
      <c r="U31" s="686"/>
      <c r="V31" s="466"/>
      <c r="W31" s="467"/>
    </row>
    <row r="32" spans="1:23" ht="14" customHeight="1" x14ac:dyDescent="0.25">
      <c r="A32" s="332"/>
      <c r="B32" s="461"/>
      <c r="C32" s="686"/>
      <c r="D32" s="686"/>
      <c r="E32" s="686"/>
      <c r="F32" s="686"/>
      <c r="G32" s="686"/>
      <c r="J32" s="686"/>
      <c r="K32" s="686"/>
      <c r="L32" s="686"/>
      <c r="M32" s="686"/>
      <c r="N32" s="695" t="s">
        <v>72</v>
      </c>
      <c r="O32" s="696">
        <f ca="1">IF(VLOOKUP($N32,Data!$K:$O,1,TRUE)=$N32,VLOOKUP($N32,Data!$K:$O,5,TRUE),NA())</f>
        <v>0</v>
      </c>
      <c r="P32" s="696" t="e">
        <f t="shared" ca="1" si="0"/>
        <v>#REF!</v>
      </c>
      <c r="Q32" s="466"/>
      <c r="R32" s="467"/>
      <c r="S32" s="698"/>
      <c r="T32" s="699"/>
      <c r="U32" s="700"/>
      <c r="V32" s="701"/>
      <c r="W32" s="467"/>
    </row>
    <row r="33" spans="1:23" ht="14" customHeight="1" x14ac:dyDescent="0.25">
      <c r="A33" s="332"/>
      <c r="B33" s="461"/>
      <c r="C33" s="686"/>
      <c r="D33" s="686"/>
      <c r="E33" s="686"/>
      <c r="F33" s="686"/>
      <c r="G33" s="686"/>
      <c r="J33" s="686"/>
      <c r="K33" s="686"/>
      <c r="L33" s="686"/>
      <c r="M33" s="686"/>
      <c r="N33" s="695" t="s">
        <v>87</v>
      </c>
      <c r="O33" s="696">
        <f ca="1">IF(VLOOKUP($N33,Data!$K:$O,1,TRUE)=$N33,VLOOKUP($N33,Data!$K:$O,5,TRUE),NA())</f>
        <v>0</v>
      </c>
      <c r="P33" s="696" t="e">
        <f t="shared" ca="1" si="0"/>
        <v>#REF!</v>
      </c>
      <c r="Q33" s="466"/>
      <c r="R33" s="467"/>
      <c r="S33" s="297"/>
      <c r="T33" s="297"/>
      <c r="U33" s="297"/>
      <c r="V33" s="297"/>
      <c r="W33" s="467"/>
    </row>
    <row r="34" spans="1:23" ht="14" customHeight="1" x14ac:dyDescent="0.25">
      <c r="A34" s="332"/>
      <c r="B34" s="461"/>
      <c r="C34" s="686"/>
      <c r="D34" s="686"/>
      <c r="E34" s="686"/>
      <c r="F34" s="686"/>
      <c r="G34" s="686"/>
      <c r="J34" s="686"/>
      <c r="K34" s="686"/>
      <c r="L34" s="686"/>
      <c r="M34" s="686"/>
      <c r="N34" s="695" t="s">
        <v>89</v>
      </c>
      <c r="O34" s="696">
        <f ca="1">IF(VLOOKUP($N34,Data!$K:$O,1,TRUE)=$N34,VLOOKUP($N34,Data!$K:$O,5,TRUE),NA())</f>
        <v>0</v>
      </c>
      <c r="P34" s="696" t="e">
        <f t="shared" ca="1" si="0"/>
        <v>#REF!</v>
      </c>
      <c r="Q34" s="466"/>
      <c r="R34" s="467"/>
      <c r="S34" s="297"/>
      <c r="T34" s="297"/>
      <c r="U34" s="297"/>
      <c r="V34" s="297"/>
      <c r="W34" s="467"/>
    </row>
    <row r="35" spans="1:23" ht="14" customHeight="1" x14ac:dyDescent="0.25">
      <c r="A35" s="332"/>
      <c r="B35" s="461"/>
      <c r="C35" s="686"/>
      <c r="D35" s="686"/>
      <c r="E35" s="686"/>
      <c r="F35" s="686"/>
      <c r="G35" s="686"/>
      <c r="J35" s="686"/>
      <c r="K35" s="686"/>
      <c r="L35" s="686"/>
      <c r="M35" s="686"/>
      <c r="N35" s="695" t="s">
        <v>91</v>
      </c>
      <c r="O35" s="696">
        <f ca="1">IF(VLOOKUP($N35,Data!$K:$O,1,TRUE)=$N35,VLOOKUP($N35,Data!$K:$O,5,TRUE),NA())</f>
        <v>1</v>
      </c>
      <c r="P35" s="696" t="e">
        <f t="shared" ca="1" si="0"/>
        <v>#REF!</v>
      </c>
      <c r="Q35" s="466"/>
      <c r="R35" s="467"/>
      <c r="S35" s="297"/>
      <c r="T35" s="297"/>
      <c r="U35" s="297"/>
      <c r="V35" s="297"/>
      <c r="W35" s="467"/>
    </row>
    <row r="36" spans="1:23" ht="14" customHeight="1" x14ac:dyDescent="0.25">
      <c r="A36" s="332"/>
      <c r="B36" s="461"/>
      <c r="C36" s="686"/>
      <c r="D36" s="686"/>
      <c r="E36" s="686"/>
      <c r="F36" s="686"/>
      <c r="G36" s="686"/>
      <c r="J36" s="686"/>
      <c r="K36" s="686"/>
      <c r="L36" s="686"/>
      <c r="M36" s="686"/>
      <c r="N36" s="695" t="s">
        <v>93</v>
      </c>
      <c r="O36" s="696">
        <f ca="1">IF(VLOOKUP($N36,Data!$K:$O,1,TRUE)=$N36,VLOOKUP($N36,Data!$K:$O,5,TRUE),NA())</f>
        <v>1</v>
      </c>
      <c r="P36" s="696" t="e">
        <f t="shared" ca="1" si="0"/>
        <v>#REF!</v>
      </c>
      <c r="Q36" s="466"/>
      <c r="R36" s="467"/>
      <c r="S36" s="297"/>
      <c r="T36" s="297"/>
      <c r="U36" s="297"/>
      <c r="V36" s="297"/>
      <c r="W36" s="467"/>
    </row>
    <row r="37" spans="1:23" ht="14" customHeight="1" x14ac:dyDescent="0.25">
      <c r="A37" s="332"/>
      <c r="B37" s="461"/>
      <c r="C37" s="686"/>
      <c r="H37" s="686"/>
      <c r="I37" s="686"/>
      <c r="J37" s="686"/>
      <c r="K37" s="686"/>
      <c r="L37" s="686"/>
      <c r="M37" s="686"/>
      <c r="N37" s="695" t="s">
        <v>74</v>
      </c>
      <c r="O37" s="696">
        <f ca="1">IF(VLOOKUP($N37,Data!$K:$O,1,TRUE)=$N37,VLOOKUP($N37,Data!$K:$O,5,TRUE),NA())</f>
        <v>0</v>
      </c>
      <c r="P37" s="696" t="e">
        <f t="shared" ca="1" si="0"/>
        <v>#REF!</v>
      </c>
      <c r="Q37" s="466"/>
      <c r="R37" s="467"/>
      <c r="S37" s="297"/>
      <c r="T37" s="297"/>
      <c r="U37" s="297"/>
      <c r="V37" s="297"/>
      <c r="W37" s="467"/>
    </row>
    <row r="38" spans="1:23" ht="14" customHeight="1" x14ac:dyDescent="0.25">
      <c r="A38" s="332"/>
      <c r="B38" s="461"/>
      <c r="C38" s="686"/>
      <c r="H38" s="686"/>
      <c r="I38" s="686"/>
      <c r="J38" s="686"/>
      <c r="K38" s="686"/>
      <c r="L38" s="686"/>
      <c r="M38" s="686"/>
      <c r="N38" s="695" t="s">
        <v>96</v>
      </c>
      <c r="O38" s="696">
        <f ca="1">IF(VLOOKUP($N38,Data!$K:$O,1,TRUE)=$N38,VLOOKUP($N38,Data!$K:$O,5,TRUE),NA())</f>
        <v>0</v>
      </c>
      <c r="P38" s="696" t="e">
        <f t="shared" ca="1" si="0"/>
        <v>#REF!</v>
      </c>
      <c r="Q38" s="466"/>
      <c r="R38" s="467"/>
      <c r="S38" s="297"/>
      <c r="T38" s="297"/>
      <c r="U38" s="297"/>
      <c r="V38" s="297"/>
      <c r="W38" s="467"/>
    </row>
    <row r="39" spans="1:23" ht="14" customHeight="1" x14ac:dyDescent="0.25">
      <c r="A39" s="332"/>
      <c r="B39" s="461"/>
      <c r="C39" s="686"/>
      <c r="H39" s="686"/>
      <c r="I39" s="686"/>
      <c r="J39" s="686"/>
      <c r="K39" s="686"/>
      <c r="L39" s="686"/>
      <c r="M39" s="686"/>
      <c r="N39" s="695" t="s">
        <v>98</v>
      </c>
      <c r="O39" s="696">
        <f ca="1">IF(VLOOKUP($N39,Data!$K:$O,1,TRUE)=$N39,VLOOKUP($N39,Data!$K:$O,5,TRUE),NA())</f>
        <v>0</v>
      </c>
      <c r="P39" s="696" t="e">
        <f t="shared" ca="1" si="0"/>
        <v>#REF!</v>
      </c>
      <c r="Q39" s="466"/>
      <c r="R39" s="467"/>
      <c r="S39" s="297"/>
      <c r="T39" s="297"/>
      <c r="U39" s="297"/>
      <c r="V39" s="297"/>
      <c r="W39" s="467"/>
    </row>
    <row r="40" spans="1:23" ht="14" customHeight="1" x14ac:dyDescent="0.25">
      <c r="A40" s="332"/>
      <c r="B40" s="461"/>
      <c r="C40" s="686"/>
      <c r="H40" s="686"/>
      <c r="I40" s="686"/>
      <c r="J40" s="686"/>
      <c r="K40" s="686"/>
      <c r="L40" s="686"/>
      <c r="M40" s="686"/>
      <c r="N40" s="695" t="s">
        <v>100</v>
      </c>
      <c r="O40" s="696">
        <f ca="1">IF(VLOOKUP($N40,Data!$K:$O,1,TRUE)=$N40,VLOOKUP($N40,Data!$K:$O,5,TRUE),NA())</f>
        <v>0</v>
      </c>
      <c r="P40" s="696" t="e">
        <f t="shared" ca="1" si="0"/>
        <v>#REF!</v>
      </c>
      <c r="Q40" s="466"/>
      <c r="R40" s="467"/>
      <c r="S40" s="297"/>
      <c r="T40" s="297"/>
      <c r="U40" s="297"/>
      <c r="V40" s="297"/>
      <c r="W40" s="467"/>
    </row>
    <row r="41" spans="1:23" ht="14" customHeight="1" x14ac:dyDescent="0.25">
      <c r="A41" s="332"/>
      <c r="B41" s="461"/>
      <c r="C41" s="686"/>
      <c r="H41" s="686"/>
      <c r="I41" s="686"/>
      <c r="J41" s="686"/>
      <c r="K41" s="686"/>
      <c r="L41" s="686"/>
      <c r="M41" s="686"/>
      <c r="N41" s="695" t="s">
        <v>102</v>
      </c>
      <c r="O41" s="696">
        <f ca="1">IF(VLOOKUP($N41,Data!$K:$O,1,TRUE)=$N41,VLOOKUP($N41,Data!$K:$O,5,TRUE),NA())</f>
        <v>1</v>
      </c>
      <c r="P41" s="696" t="e">
        <f t="shared" ca="1" si="0"/>
        <v>#REF!</v>
      </c>
      <c r="Q41" s="466"/>
      <c r="R41" s="467"/>
      <c r="S41" s="297"/>
      <c r="T41" s="297"/>
      <c r="U41" s="297"/>
      <c r="V41" s="297"/>
      <c r="W41" s="467"/>
    </row>
    <row r="42" spans="1:23" ht="14" customHeight="1" x14ac:dyDescent="0.25">
      <c r="A42" s="332"/>
      <c r="B42" s="461"/>
      <c r="C42" s="686"/>
      <c r="H42" s="686"/>
      <c r="I42" s="686"/>
      <c r="J42" s="686"/>
      <c r="K42" s="686"/>
      <c r="L42" s="686"/>
      <c r="M42" s="686"/>
      <c r="N42" s="695" t="s">
        <v>77</v>
      </c>
      <c r="O42" s="696">
        <f ca="1">IF(VLOOKUP($N42,Data!$K:$O,1,TRUE)=$N42,VLOOKUP($N42,Data!$K:$O,5,TRUE),NA())</f>
        <v>0</v>
      </c>
      <c r="P42" s="696" t="e">
        <f t="shared" ca="1" si="0"/>
        <v>#REF!</v>
      </c>
      <c r="Q42" s="466"/>
      <c r="R42" s="467"/>
      <c r="S42" s="297"/>
      <c r="T42" s="297"/>
      <c r="U42" s="297"/>
      <c r="V42" s="297"/>
      <c r="W42" s="467"/>
    </row>
    <row r="43" spans="1:23" ht="14" customHeight="1" x14ac:dyDescent="0.25">
      <c r="A43" s="332"/>
      <c r="B43" s="461"/>
      <c r="C43" s="686"/>
      <c r="H43" s="686"/>
      <c r="I43" s="686"/>
      <c r="J43" s="686"/>
      <c r="K43" s="686"/>
      <c r="L43" s="686"/>
      <c r="M43" s="686"/>
      <c r="N43" s="695" t="s">
        <v>105</v>
      </c>
      <c r="O43" s="696">
        <f ca="1">IF(VLOOKUP($N43,Data!$K:$O,1,TRUE)=$N43,VLOOKUP($N43,Data!$K:$O,5,TRUE),NA())</f>
        <v>0</v>
      </c>
      <c r="P43" s="696" t="e">
        <f t="shared" ca="1" si="0"/>
        <v>#REF!</v>
      </c>
      <c r="Q43" s="466"/>
      <c r="R43" s="467"/>
      <c r="S43" s="297"/>
      <c r="T43" s="297"/>
      <c r="U43" s="297"/>
      <c r="V43" s="297"/>
      <c r="W43" s="467"/>
    </row>
    <row r="44" spans="1:23" ht="14" customHeight="1" x14ac:dyDescent="0.25">
      <c r="A44" s="332"/>
      <c r="B44" s="461"/>
      <c r="C44" s="686"/>
      <c r="H44" s="686"/>
      <c r="I44" s="686"/>
      <c r="J44" s="686"/>
      <c r="K44" s="686"/>
      <c r="L44" s="686"/>
      <c r="M44" s="686"/>
      <c r="N44" s="695" t="s">
        <v>107</v>
      </c>
      <c r="O44" s="696">
        <f ca="1">IF(VLOOKUP($N44,Data!$K:$O,1,TRUE)=$N44,VLOOKUP($N44,Data!$K:$O,5,TRUE),NA())</f>
        <v>0</v>
      </c>
      <c r="P44" s="696" t="e">
        <f t="shared" ca="1" si="0"/>
        <v>#REF!</v>
      </c>
      <c r="Q44" s="466"/>
      <c r="R44" s="467"/>
      <c r="S44" s="297"/>
      <c r="T44" s="297"/>
      <c r="U44" s="297"/>
      <c r="V44" s="297"/>
      <c r="W44" s="467"/>
    </row>
    <row r="45" spans="1:23" ht="14" customHeight="1" x14ac:dyDescent="0.25">
      <c r="A45" s="332"/>
      <c r="B45" s="461"/>
      <c r="C45" s="686"/>
      <c r="H45" s="686"/>
      <c r="I45" s="686"/>
      <c r="J45" s="686"/>
      <c r="K45" s="686"/>
      <c r="L45" s="686"/>
      <c r="M45" s="686"/>
      <c r="N45" s="695" t="s">
        <v>109</v>
      </c>
      <c r="O45" s="696">
        <f ca="1">IF(VLOOKUP($N45,Data!$K:$O,1,TRUE)=$N45,VLOOKUP($N45,Data!$K:$O,5,TRUE),NA())</f>
        <v>1</v>
      </c>
      <c r="P45" s="696" t="e">
        <f t="shared" ca="1" si="0"/>
        <v>#REF!</v>
      </c>
      <c r="Q45" s="466"/>
      <c r="R45" s="467"/>
      <c r="S45" s="297"/>
      <c r="T45" s="297"/>
      <c r="U45" s="297"/>
      <c r="V45" s="297"/>
      <c r="W45" s="467"/>
    </row>
    <row r="46" spans="1:23" ht="14" customHeight="1" x14ac:dyDescent="0.25">
      <c r="A46" s="332"/>
      <c r="B46" s="461"/>
      <c r="C46" s="686"/>
      <c r="H46" s="686"/>
      <c r="I46" s="686"/>
      <c r="J46" s="686"/>
      <c r="K46" s="686"/>
      <c r="L46" s="686"/>
      <c r="M46" s="686"/>
      <c r="N46" s="695" t="s">
        <v>80</v>
      </c>
      <c r="O46" s="696">
        <f ca="1">IF(VLOOKUP($N46,Data!$K:$O,1,TRUE)=$N46,VLOOKUP($N46,Data!$K:$O,5,TRUE),NA())</f>
        <v>0</v>
      </c>
      <c r="P46" s="696" t="e">
        <f t="shared" ca="1" si="0"/>
        <v>#REF!</v>
      </c>
      <c r="Q46" s="466"/>
      <c r="R46" s="467"/>
      <c r="S46" s="297"/>
      <c r="T46" s="297"/>
      <c r="U46" s="297"/>
      <c r="V46" s="297"/>
      <c r="W46" s="467"/>
    </row>
    <row r="47" spans="1:23" ht="14" customHeight="1" x14ac:dyDescent="0.25">
      <c r="A47" s="332"/>
      <c r="B47" s="461"/>
      <c r="C47" s="686"/>
      <c r="H47" s="686"/>
      <c r="I47" s="686"/>
      <c r="J47" s="686"/>
      <c r="K47" s="686"/>
      <c r="L47" s="686"/>
      <c r="M47" s="686"/>
      <c r="N47" s="695" t="s">
        <v>113</v>
      </c>
      <c r="O47" s="696">
        <f ca="1">IF(VLOOKUP($N47,Data!$K:$O,1,TRUE)=$N47,VLOOKUP($N47,Data!$K:$O,5,TRUE),NA())</f>
        <v>0</v>
      </c>
      <c r="P47" s="696" t="e">
        <f t="shared" ca="1" si="0"/>
        <v>#REF!</v>
      </c>
      <c r="Q47" s="466"/>
      <c r="R47" s="467"/>
      <c r="S47" s="297"/>
      <c r="T47" s="297"/>
      <c r="U47" s="297"/>
      <c r="V47" s="297"/>
      <c r="W47" s="467"/>
    </row>
    <row r="48" spans="1:23" ht="14" customHeight="1" x14ac:dyDescent="0.25">
      <c r="A48" s="332"/>
      <c r="B48" s="461"/>
      <c r="C48" s="686"/>
      <c r="H48" s="686"/>
      <c r="I48" s="686"/>
      <c r="J48" s="686"/>
      <c r="K48" s="686"/>
      <c r="L48" s="686"/>
      <c r="M48" s="686"/>
      <c r="N48" s="695" t="s">
        <v>115</v>
      </c>
      <c r="O48" s="696">
        <f ca="1">IF(VLOOKUP($N48,Data!$K:$O,1,TRUE)=$N48,VLOOKUP($N48,Data!$K:$O,5,TRUE),NA())</f>
        <v>0</v>
      </c>
      <c r="P48" s="696" t="e">
        <f t="shared" ca="1" si="0"/>
        <v>#REF!</v>
      </c>
      <c r="Q48" s="466"/>
      <c r="R48" s="467"/>
      <c r="S48" s="297"/>
      <c r="T48" s="297"/>
      <c r="U48" s="297"/>
      <c r="V48" s="297"/>
      <c r="W48" s="467"/>
    </row>
    <row r="49" spans="1:23" ht="14" customHeight="1" x14ac:dyDescent="0.25">
      <c r="A49" s="332"/>
      <c r="B49" s="461"/>
      <c r="C49" s="686"/>
      <c r="H49" s="686"/>
      <c r="I49" s="686"/>
      <c r="J49" s="686"/>
      <c r="K49" s="686"/>
      <c r="L49" s="686"/>
      <c r="M49" s="686"/>
      <c r="N49" s="695" t="s">
        <v>117</v>
      </c>
      <c r="O49" s="696">
        <f ca="1">IF(VLOOKUP($N49,Data!$K:$O,1,TRUE)=$N49,VLOOKUP($N49,Data!$K:$O,5,TRUE),NA())</f>
        <v>0</v>
      </c>
      <c r="P49" s="696" t="e">
        <f t="shared" ca="1" si="0"/>
        <v>#REF!</v>
      </c>
      <c r="Q49" s="466"/>
      <c r="R49" s="467"/>
      <c r="S49" s="297"/>
      <c r="T49" s="297"/>
      <c r="U49" s="297"/>
      <c r="V49" s="297"/>
      <c r="W49" s="467"/>
    </row>
    <row r="50" spans="1:23" ht="14" customHeight="1" x14ac:dyDescent="0.25">
      <c r="A50" s="332"/>
      <c r="B50" s="461"/>
      <c r="C50" s="686"/>
      <c r="H50" s="686"/>
      <c r="I50" s="686"/>
      <c r="J50" s="686"/>
      <c r="K50" s="686"/>
      <c r="L50" s="686"/>
      <c r="M50" s="686"/>
      <c r="N50" s="695" t="s">
        <v>119</v>
      </c>
      <c r="O50" s="696">
        <f ca="1">IF(VLOOKUP($N50,Data!$K:$O,1,TRUE)=$N50,VLOOKUP($N50,Data!$K:$O,5,TRUE),NA())</f>
        <v>0</v>
      </c>
      <c r="P50" s="696" t="e">
        <f t="shared" ca="1" si="0"/>
        <v>#REF!</v>
      </c>
      <c r="Q50" s="466"/>
      <c r="R50" s="467"/>
      <c r="S50" s="297"/>
      <c r="T50" s="297"/>
      <c r="U50" s="297"/>
      <c r="V50" s="297"/>
      <c r="W50" s="467"/>
    </row>
    <row r="51" spans="1:23" ht="14" customHeight="1" x14ac:dyDescent="0.25">
      <c r="A51" s="332"/>
      <c r="B51" s="461"/>
      <c r="C51" s="686"/>
      <c r="H51" s="686"/>
      <c r="I51" s="686"/>
      <c r="J51" s="686"/>
      <c r="K51" s="686"/>
      <c r="L51" s="686"/>
      <c r="M51" s="686"/>
      <c r="N51" s="695" t="s">
        <v>121</v>
      </c>
      <c r="O51" s="696">
        <f ca="1">IF(VLOOKUP($N51,Data!$K:$O,1,TRUE)=$N51,VLOOKUP($N51,Data!$K:$O,5,TRUE),NA())</f>
        <v>1</v>
      </c>
      <c r="P51" s="696" t="e">
        <f t="shared" ca="1" si="0"/>
        <v>#REF!</v>
      </c>
      <c r="Q51" s="466"/>
      <c r="R51" s="467"/>
      <c r="S51" s="297"/>
      <c r="T51" s="297"/>
      <c r="U51" s="297"/>
      <c r="V51" s="297"/>
      <c r="W51" s="467"/>
    </row>
    <row r="52" spans="1:23" ht="14" customHeight="1" x14ac:dyDescent="0.25">
      <c r="A52" s="332"/>
      <c r="B52" s="461"/>
      <c r="C52" s="686"/>
      <c r="H52" s="686"/>
      <c r="I52" s="686"/>
      <c r="J52" s="686"/>
      <c r="K52" s="686"/>
      <c r="L52" s="686"/>
      <c r="M52" s="686"/>
      <c r="N52" s="695" t="s">
        <v>83</v>
      </c>
      <c r="O52" s="696">
        <f ca="1">IF(VLOOKUP($N52,Data!$K:$O,1,TRUE)=$N52,VLOOKUP($N52,Data!$K:$O,5,TRUE),NA())</f>
        <v>0</v>
      </c>
      <c r="P52" s="696" t="e">
        <f t="shared" ca="1" si="0"/>
        <v>#REF!</v>
      </c>
      <c r="Q52" s="466"/>
      <c r="R52" s="467"/>
      <c r="S52" s="297"/>
      <c r="T52" s="297"/>
      <c r="U52" s="297"/>
      <c r="V52" s="297"/>
      <c r="W52" s="467"/>
    </row>
    <row r="53" spans="1:23" ht="14" customHeight="1" x14ac:dyDescent="0.25">
      <c r="A53" s="332"/>
      <c r="B53" s="461"/>
      <c r="C53" s="686"/>
      <c r="H53" s="686"/>
      <c r="I53" s="686"/>
      <c r="J53" s="686"/>
      <c r="K53" s="686"/>
      <c r="L53" s="686"/>
      <c r="M53" s="686"/>
      <c r="N53" s="695" t="s">
        <v>124</v>
      </c>
      <c r="O53" s="696">
        <f ca="1">IF(VLOOKUP($N53,Data!$K:$O,1,TRUE)=$N53,VLOOKUP($N53,Data!$K:$O,5,TRUE),NA())</f>
        <v>0</v>
      </c>
      <c r="P53" s="696" t="e">
        <f t="shared" ca="1" si="0"/>
        <v>#REF!</v>
      </c>
      <c r="Q53" s="466"/>
      <c r="R53" s="467"/>
      <c r="S53" s="297"/>
      <c r="T53" s="297"/>
      <c r="U53" s="297"/>
      <c r="V53" s="297"/>
      <c r="W53" s="467"/>
    </row>
    <row r="54" spans="1:23" ht="14" customHeight="1" x14ac:dyDescent="0.25">
      <c r="A54" s="332"/>
      <c r="B54" s="461"/>
      <c r="C54" s="686"/>
      <c r="H54" s="686"/>
      <c r="I54" s="686"/>
      <c r="J54" s="686"/>
      <c r="K54" s="686"/>
      <c r="L54" s="686"/>
      <c r="M54" s="686"/>
      <c r="N54" s="695" t="s">
        <v>127</v>
      </c>
      <c r="O54" s="696">
        <f ca="1">IF(VLOOKUP($N54,Data!$K:$O,1,TRUE)=$N54,VLOOKUP($N54,Data!$K:$O,5,TRUE),NA())</f>
        <v>0</v>
      </c>
      <c r="P54" s="696" t="e">
        <f t="shared" ca="1" si="0"/>
        <v>#REF!</v>
      </c>
      <c r="Q54" s="466"/>
      <c r="R54" s="467"/>
      <c r="S54" s="297"/>
      <c r="T54" s="297"/>
      <c r="U54" s="297"/>
      <c r="V54" s="297"/>
      <c r="W54" s="467"/>
    </row>
    <row r="55" spans="1:23" ht="14" customHeight="1" x14ac:dyDescent="0.25">
      <c r="A55" s="332"/>
      <c r="B55" s="461"/>
      <c r="C55" s="686"/>
      <c r="H55" s="686"/>
      <c r="I55" s="686"/>
      <c r="J55" s="686"/>
      <c r="K55" s="686"/>
      <c r="L55" s="686"/>
      <c r="M55" s="686"/>
      <c r="N55" s="695" t="s">
        <v>130</v>
      </c>
      <c r="O55" s="696">
        <f ca="1">IF(VLOOKUP($N55,Data!$K:$O,1,TRUE)=$N55,VLOOKUP($N55,Data!$K:$O,5,TRUE),NA())</f>
        <v>1</v>
      </c>
      <c r="P55" s="696" t="e">
        <f t="shared" ca="1" si="0"/>
        <v>#REF!</v>
      </c>
      <c r="Q55" s="466"/>
      <c r="R55" s="467"/>
      <c r="S55" s="297"/>
      <c r="T55" s="297"/>
      <c r="U55" s="297"/>
      <c r="V55" s="297"/>
      <c r="W55" s="467"/>
    </row>
    <row r="56" spans="1:23" ht="14" customHeight="1" x14ac:dyDescent="0.25">
      <c r="A56" s="332"/>
      <c r="B56" s="461"/>
      <c r="C56" s="686"/>
      <c r="H56" s="686"/>
      <c r="I56" s="686"/>
      <c r="J56" s="686"/>
      <c r="K56" s="686"/>
      <c r="L56" s="686"/>
      <c r="M56" s="686"/>
      <c r="N56" s="695" t="s">
        <v>133</v>
      </c>
      <c r="O56" s="696">
        <f ca="1">IF(VLOOKUP($N56,Data!$K:$O,1,TRUE)=$N56,VLOOKUP($N56,Data!$K:$O,5,TRUE),NA())</f>
        <v>0</v>
      </c>
      <c r="P56" s="696" t="e">
        <f t="shared" ca="1" si="0"/>
        <v>#REF!</v>
      </c>
      <c r="Q56" s="466"/>
      <c r="R56" s="467"/>
      <c r="S56" s="297"/>
      <c r="T56" s="297"/>
      <c r="U56" s="297"/>
      <c r="V56" s="297"/>
      <c r="W56" s="467"/>
    </row>
    <row r="57" spans="1:23" ht="14" customHeight="1" x14ac:dyDescent="0.25">
      <c r="A57" s="332"/>
      <c r="B57" s="461"/>
      <c r="C57" s="686"/>
      <c r="H57" s="686"/>
      <c r="I57" s="686"/>
      <c r="J57" s="686"/>
      <c r="K57" s="686"/>
      <c r="L57" s="686"/>
      <c r="M57" s="686"/>
      <c r="N57" s="695" t="s">
        <v>136</v>
      </c>
      <c r="O57" s="696">
        <f ca="1">IF(VLOOKUP($N57,Data!$K:$O,1,TRUE)=$N57,VLOOKUP($N57,Data!$K:$O,5,TRUE),NA())</f>
        <v>1</v>
      </c>
      <c r="P57" s="696" t="e">
        <f t="shared" ca="1" si="0"/>
        <v>#REF!</v>
      </c>
      <c r="Q57" s="466"/>
      <c r="R57" s="467"/>
      <c r="S57" s="297"/>
      <c r="T57" s="297"/>
      <c r="U57" s="297"/>
      <c r="V57" s="297"/>
      <c r="W57" s="467"/>
    </row>
    <row r="58" spans="1:23" ht="14" customHeight="1" x14ac:dyDescent="0.25">
      <c r="A58" s="332"/>
      <c r="B58" s="461"/>
      <c r="C58" s="686"/>
      <c r="H58" s="686"/>
      <c r="I58" s="686"/>
      <c r="J58" s="686"/>
      <c r="K58" s="686"/>
      <c r="L58" s="686"/>
      <c r="M58" s="686"/>
      <c r="N58" s="695" t="s">
        <v>85</v>
      </c>
      <c r="O58" s="696">
        <f ca="1">IF(VLOOKUP($N58,Data!$K:$O,1,TRUE)=$N58,VLOOKUP($N58,Data!$K:$O,5,TRUE),NA())</f>
        <v>0</v>
      </c>
      <c r="P58" s="696" t="e">
        <f t="shared" ca="1" si="0"/>
        <v>#REF!</v>
      </c>
      <c r="Q58" s="466"/>
      <c r="R58" s="467"/>
      <c r="S58" s="297"/>
      <c r="T58" s="297"/>
      <c r="U58" s="297"/>
      <c r="V58" s="297"/>
      <c r="W58" s="467"/>
    </row>
    <row r="59" spans="1:23" ht="14" customHeight="1" x14ac:dyDescent="0.25">
      <c r="A59" s="332"/>
      <c r="B59" s="461"/>
      <c r="C59" s="686"/>
      <c r="H59" s="686"/>
      <c r="I59" s="686"/>
      <c r="J59" s="686"/>
      <c r="K59" s="686"/>
      <c r="L59" s="686"/>
      <c r="M59" s="686"/>
      <c r="N59" s="695" t="s">
        <v>141</v>
      </c>
      <c r="O59" s="696">
        <f ca="1">IF(VLOOKUP($N59,Data!$K:$O,1,TRUE)=$N59,VLOOKUP($N59,Data!$K:$O,5,TRUE),NA())</f>
        <v>0</v>
      </c>
      <c r="P59" s="696" t="e">
        <f t="shared" ca="1" si="0"/>
        <v>#REF!</v>
      </c>
      <c r="Q59" s="466"/>
      <c r="R59" s="467"/>
      <c r="S59" s="297"/>
      <c r="T59" s="297"/>
      <c r="U59" s="297"/>
      <c r="V59" s="297"/>
      <c r="W59" s="467"/>
    </row>
    <row r="60" spans="1:23" ht="14" customHeight="1" x14ac:dyDescent="0.25">
      <c r="A60" s="332"/>
      <c r="B60" s="461"/>
      <c r="C60" s="686"/>
      <c r="H60" s="686"/>
      <c r="I60" s="686"/>
      <c r="J60" s="686"/>
      <c r="K60" s="686"/>
      <c r="L60" s="686"/>
      <c r="M60" s="686"/>
      <c r="N60" s="695" t="s">
        <v>144</v>
      </c>
      <c r="O60" s="696">
        <f ca="1">IF(VLOOKUP($N60,Data!$K:$O,1,TRUE)=$N60,VLOOKUP($N60,Data!$K:$O,5,TRUE),NA())</f>
        <v>0</v>
      </c>
      <c r="P60" s="696" t="e">
        <f t="shared" ca="1" si="0"/>
        <v>#REF!</v>
      </c>
      <c r="Q60" s="466"/>
      <c r="R60" s="467"/>
      <c r="S60" s="297"/>
      <c r="T60" s="297"/>
      <c r="U60" s="297"/>
      <c r="V60" s="297"/>
      <c r="W60" s="467"/>
    </row>
    <row r="61" spans="1:23" ht="14" customHeight="1" x14ac:dyDescent="0.25">
      <c r="A61" s="332"/>
      <c r="B61" s="461"/>
      <c r="C61" s="686"/>
      <c r="H61" s="686"/>
      <c r="I61" s="686"/>
      <c r="J61" s="686"/>
      <c r="K61" s="686"/>
      <c r="L61" s="686"/>
      <c r="M61" s="686"/>
      <c r="N61" s="695" t="s">
        <v>147</v>
      </c>
      <c r="O61" s="696">
        <f ca="1">IF(VLOOKUP($N61,Data!$K:$O,1,TRUE)=$N61,VLOOKUP($N61,Data!$K:$O,5,TRUE),NA())</f>
        <v>0</v>
      </c>
      <c r="P61" s="696" t="e">
        <f t="shared" ca="1" si="0"/>
        <v>#REF!</v>
      </c>
      <c r="Q61" s="466"/>
      <c r="R61" s="467"/>
      <c r="S61" s="297"/>
      <c r="T61" s="297"/>
      <c r="U61" s="297"/>
      <c r="V61" s="297"/>
      <c r="W61" s="467"/>
    </row>
    <row r="62" spans="1:23" ht="14" customHeight="1" x14ac:dyDescent="0.25">
      <c r="A62" s="332"/>
      <c r="B62" s="461"/>
      <c r="C62" s="686"/>
      <c r="H62" s="686"/>
      <c r="I62" s="686"/>
      <c r="J62" s="686"/>
      <c r="K62" s="686"/>
      <c r="L62" s="686"/>
      <c r="M62" s="686"/>
      <c r="N62" s="695" t="s">
        <v>150</v>
      </c>
      <c r="O62" s="696">
        <f ca="1">IF(VLOOKUP($N62,Data!$K:$O,1,TRUE)=$N62,VLOOKUP($N62,Data!$K:$O,5,TRUE),NA())</f>
        <v>1</v>
      </c>
      <c r="P62" s="696" t="e">
        <f t="shared" ca="1" si="0"/>
        <v>#REF!</v>
      </c>
      <c r="Q62" s="466"/>
      <c r="R62" s="467"/>
      <c r="S62" s="297"/>
      <c r="T62" s="297"/>
      <c r="U62" s="297"/>
      <c r="V62" s="297"/>
      <c r="W62" s="467"/>
    </row>
    <row r="63" spans="1:23" ht="14" customHeight="1" x14ac:dyDescent="0.25">
      <c r="A63" s="332"/>
      <c r="B63" s="461"/>
      <c r="C63" s="686"/>
      <c r="H63" s="686"/>
      <c r="I63" s="686"/>
      <c r="J63" s="686"/>
      <c r="K63" s="686"/>
      <c r="L63" s="686"/>
      <c r="M63" s="686"/>
      <c r="N63" s="695" t="s">
        <v>60</v>
      </c>
      <c r="O63" s="696">
        <f ca="1">IF(VLOOKUP($N63,Data!$K:$O,1,TRUE)=$N63,VLOOKUP($N63,Data!$K:$O,5,TRUE),NA())</f>
        <v>0</v>
      </c>
      <c r="P63" s="696" t="e">
        <f t="shared" ca="1" si="0"/>
        <v>#REF!</v>
      </c>
      <c r="Q63" s="466"/>
      <c r="R63" s="467"/>
      <c r="S63" s="297"/>
      <c r="T63" s="297"/>
      <c r="U63" s="297"/>
      <c r="V63" s="297"/>
      <c r="W63" s="467"/>
    </row>
    <row r="64" spans="1:23" ht="14" customHeight="1" x14ac:dyDescent="0.25">
      <c r="A64" s="332"/>
      <c r="B64" s="461"/>
      <c r="C64" s="686"/>
      <c r="H64" s="686"/>
      <c r="I64" s="686"/>
      <c r="J64" s="686"/>
      <c r="K64" s="686"/>
      <c r="L64" s="686"/>
      <c r="M64" s="686"/>
      <c r="N64" s="695" t="s">
        <v>157</v>
      </c>
      <c r="O64" s="696">
        <f ca="1">IF(VLOOKUP($N64,Data!$K:$O,1,TRUE)=$N64,VLOOKUP($N64,Data!$K:$O,5,TRUE),NA())</f>
        <v>0</v>
      </c>
      <c r="P64" s="696" t="e">
        <f t="shared" ca="1" si="0"/>
        <v>#REF!</v>
      </c>
      <c r="Q64" s="466"/>
      <c r="R64" s="467"/>
      <c r="S64" s="297"/>
      <c r="T64" s="297"/>
      <c r="U64" s="297"/>
      <c r="V64" s="297"/>
      <c r="W64" s="467"/>
    </row>
    <row r="65" spans="1:23" ht="14" customHeight="1" x14ac:dyDescent="0.25">
      <c r="A65" s="332"/>
      <c r="B65" s="461"/>
      <c r="C65" s="686"/>
      <c r="H65" s="686"/>
      <c r="I65" s="686"/>
      <c r="J65" s="686"/>
      <c r="K65" s="686"/>
      <c r="L65" s="686"/>
      <c r="M65" s="686"/>
      <c r="N65" s="695" t="s">
        <v>160</v>
      </c>
      <c r="O65" s="696">
        <f ca="1">IF(VLOOKUP($N65,Data!$K:$O,1,TRUE)=$N65,VLOOKUP($N65,Data!$K:$O,5,TRUE),NA())</f>
        <v>0</v>
      </c>
      <c r="P65" s="696" t="e">
        <f t="shared" ca="1" si="0"/>
        <v>#REF!</v>
      </c>
      <c r="Q65" s="466"/>
      <c r="R65" s="467"/>
      <c r="S65" s="297"/>
      <c r="T65" s="297"/>
      <c r="U65" s="297"/>
      <c r="V65" s="297"/>
      <c r="W65" s="467"/>
    </row>
    <row r="66" spans="1:23" ht="14" customHeight="1" x14ac:dyDescent="0.25">
      <c r="A66" s="332"/>
      <c r="B66" s="461"/>
      <c r="C66" s="686"/>
      <c r="H66" s="686"/>
      <c r="I66" s="686"/>
      <c r="J66" s="686"/>
      <c r="K66" s="686"/>
      <c r="L66" s="686"/>
      <c r="M66" s="686"/>
      <c r="N66" s="695" t="s">
        <v>162</v>
      </c>
      <c r="O66" s="696">
        <f ca="1">IF(VLOOKUP($N66,Data!$K:$O,1,TRUE)=$N66,VLOOKUP($N66,Data!$K:$O,5,TRUE),NA())</f>
        <v>0</v>
      </c>
      <c r="P66" s="696" t="e">
        <f t="shared" ca="1" si="0"/>
        <v>#REF!</v>
      </c>
      <c r="Q66" s="466"/>
      <c r="R66" s="467"/>
      <c r="S66" s="297"/>
      <c r="T66" s="297"/>
      <c r="U66" s="297"/>
      <c r="V66" s="297"/>
      <c r="W66" s="467"/>
    </row>
    <row r="67" spans="1:23" ht="14" customHeight="1" x14ac:dyDescent="0.25">
      <c r="A67" s="332"/>
      <c r="B67" s="461"/>
      <c r="C67" s="686"/>
      <c r="H67" s="686"/>
      <c r="I67" s="686"/>
      <c r="J67" s="686"/>
      <c r="K67" s="686"/>
      <c r="L67" s="729" t="s">
        <v>0</v>
      </c>
      <c r="M67" s="282" t="s">
        <v>7</v>
      </c>
      <c r="N67" s="702" t="s">
        <v>44</v>
      </c>
      <c r="O67" s="703">
        <f ca="1">IF(VLOOKUP($N67,Data!$C:$H,1,TRUE)=$N67,VLOOKUP($N67,Data!$C:$H,6,TRUE),NA())</f>
        <v>0</v>
      </c>
      <c r="P67" s="703">
        <f t="shared" ca="1" si="0"/>
        <v>0</v>
      </c>
      <c r="Q67" s="466"/>
      <c r="R67" s="467"/>
      <c r="S67" s="297"/>
      <c r="T67" s="297"/>
      <c r="U67" s="297"/>
      <c r="V67" s="297"/>
      <c r="W67" s="467"/>
    </row>
    <row r="68" spans="1:23" ht="14" customHeight="1" x14ac:dyDescent="0.25">
      <c r="A68" s="332"/>
      <c r="B68" s="461"/>
      <c r="C68" s="686"/>
      <c r="H68" s="686"/>
      <c r="I68" s="686"/>
      <c r="J68" s="686"/>
      <c r="K68" s="686"/>
      <c r="L68" s="730" t="s">
        <v>0</v>
      </c>
      <c r="M68" s="283" t="s">
        <v>9</v>
      </c>
      <c r="N68" s="702" t="s">
        <v>45</v>
      </c>
      <c r="O68" s="703">
        <f ca="1">IF(VLOOKUP($N68,Data!$C:$H,1,TRUE)=$N68,VLOOKUP($N68,Data!$C:$H,6,TRUE),NA())</f>
        <v>0</v>
      </c>
      <c r="P68" s="703">
        <f t="shared" ca="1" si="0"/>
        <v>0</v>
      </c>
      <c r="Q68" s="466"/>
      <c r="R68" s="467"/>
      <c r="S68" s="297"/>
      <c r="T68" s="297"/>
      <c r="U68" s="297"/>
      <c r="V68" s="297"/>
      <c r="W68" s="467"/>
    </row>
    <row r="69" spans="1:23" ht="14" customHeight="1" x14ac:dyDescent="0.25">
      <c r="A69" s="332"/>
      <c r="B69" s="461"/>
      <c r="C69" s="686"/>
      <c r="H69" s="686"/>
      <c r="I69" s="686"/>
      <c r="J69" s="686"/>
      <c r="K69" s="686"/>
      <c r="L69" s="729" t="s">
        <v>0</v>
      </c>
      <c r="M69" s="283" t="s">
        <v>10</v>
      </c>
      <c r="N69" s="702" t="s">
        <v>46</v>
      </c>
      <c r="O69" s="703">
        <f ca="1">IF(VLOOKUP($N69,Data!$C:$H,1,TRUE)=$N69,VLOOKUP($N69,Data!$C:$H,6,TRUE),NA())</f>
        <v>0</v>
      </c>
      <c r="P69" s="703">
        <f t="shared" ca="1" si="0"/>
        <v>0</v>
      </c>
      <c r="Q69" s="466"/>
      <c r="R69" s="467"/>
      <c r="S69" s="297"/>
      <c r="T69" s="297"/>
      <c r="U69" s="297"/>
      <c r="V69" s="297"/>
      <c r="W69" s="467"/>
    </row>
    <row r="70" spans="1:23" ht="14" customHeight="1" x14ac:dyDescent="0.25">
      <c r="A70" s="332"/>
      <c r="B70" s="461"/>
      <c r="C70" s="686"/>
      <c r="H70" s="686"/>
      <c r="I70" s="686"/>
      <c r="J70" s="686"/>
      <c r="K70" s="686"/>
      <c r="L70" s="730" t="s">
        <v>0</v>
      </c>
      <c r="M70" s="283" t="s">
        <v>11</v>
      </c>
      <c r="N70" s="702" t="s">
        <v>48</v>
      </c>
      <c r="O70" s="703">
        <f ca="1">IF(VLOOKUP($N70,Data!$C:$H,1,TRUE)=$N70,VLOOKUP($N70,Data!$C:$H,6,TRUE),NA())</f>
        <v>0</v>
      </c>
      <c r="P70" s="703">
        <f t="shared" ca="1" si="0"/>
        <v>0</v>
      </c>
      <c r="Q70" s="466"/>
      <c r="R70" s="467"/>
      <c r="S70" s="297"/>
      <c r="T70" s="297"/>
      <c r="U70" s="297"/>
      <c r="V70" s="297"/>
      <c r="W70" s="467"/>
    </row>
    <row r="71" spans="1:23" ht="14" customHeight="1" x14ac:dyDescent="0.25">
      <c r="A71" s="332"/>
      <c r="B71" s="461"/>
      <c r="C71" s="686"/>
      <c r="H71" s="686"/>
      <c r="I71" s="686"/>
      <c r="J71" s="686"/>
      <c r="K71" s="686"/>
      <c r="L71" s="729" t="s">
        <v>0</v>
      </c>
      <c r="M71" s="283" t="s">
        <v>12</v>
      </c>
      <c r="N71" s="702" t="s">
        <v>50</v>
      </c>
      <c r="O71" s="703">
        <f ca="1">IF(VLOOKUP($N71,Data!$C:$H,1,TRUE)=$N71,VLOOKUP($N71,Data!$C:$H,6,TRUE),NA())</f>
        <v>0</v>
      </c>
      <c r="P71" s="703">
        <f t="shared" ca="1" si="0"/>
        <v>0</v>
      </c>
      <c r="Q71" s="466"/>
      <c r="R71" s="467"/>
      <c r="S71" s="297"/>
      <c r="T71" s="297"/>
      <c r="U71" s="297"/>
      <c r="V71" s="297"/>
      <c r="W71" s="467"/>
    </row>
    <row r="72" spans="1:23" ht="14" customHeight="1" x14ac:dyDescent="0.25">
      <c r="A72" s="332"/>
      <c r="B72" s="461"/>
      <c r="C72" s="686"/>
      <c r="H72" s="686"/>
      <c r="I72" s="686"/>
      <c r="J72" s="686"/>
      <c r="K72" s="686"/>
      <c r="L72" s="730" t="s">
        <v>0</v>
      </c>
      <c r="M72" s="281" t="s">
        <v>13</v>
      </c>
      <c r="N72" s="702" t="s">
        <v>52</v>
      </c>
      <c r="O72" s="703">
        <f ca="1">IF(VLOOKUP($N72,Data!$C:$H,1,TRUE)=$N72,VLOOKUP($N72,Data!$C:$H,6,TRUE),NA())</f>
        <v>0</v>
      </c>
      <c r="P72" s="703">
        <f t="shared" ca="1" si="0"/>
        <v>0</v>
      </c>
      <c r="Q72" s="466"/>
      <c r="R72" s="467"/>
      <c r="S72" s="297"/>
      <c r="T72" s="297"/>
      <c r="U72" s="297"/>
      <c r="V72" s="297"/>
      <c r="W72" s="467"/>
    </row>
    <row r="73" spans="1:23" ht="14" customHeight="1" x14ac:dyDescent="0.25">
      <c r="A73" s="332"/>
      <c r="B73" s="461"/>
      <c r="C73" s="686"/>
      <c r="H73" s="686"/>
      <c r="I73" s="686"/>
      <c r="J73" s="686"/>
      <c r="K73" s="686"/>
      <c r="L73" s="729" t="s">
        <v>0</v>
      </c>
      <c r="M73" s="281" t="s">
        <v>14</v>
      </c>
      <c r="N73" s="702" t="s">
        <v>54</v>
      </c>
      <c r="O73" s="703">
        <f ca="1">IF(VLOOKUP($N73,Data!$C:$H,1,TRUE)=$N73,VLOOKUP($N73,Data!$C:$H,6,TRUE),NA())</f>
        <v>0</v>
      </c>
      <c r="P73" s="703">
        <f t="shared" ca="1" si="0"/>
        <v>0</v>
      </c>
      <c r="Q73" s="466"/>
      <c r="R73" s="467"/>
      <c r="S73" s="297"/>
      <c r="T73" s="297"/>
      <c r="U73" s="297"/>
      <c r="V73" s="297"/>
      <c r="W73" s="467"/>
    </row>
    <row r="74" spans="1:23" ht="14" customHeight="1" x14ac:dyDescent="0.25">
      <c r="A74" s="332"/>
      <c r="B74" s="461"/>
      <c r="C74" s="686"/>
      <c r="H74" s="686"/>
      <c r="I74" s="686"/>
      <c r="J74" s="686"/>
      <c r="K74" s="686"/>
      <c r="L74" s="730" t="s">
        <v>0</v>
      </c>
      <c r="M74" s="281" t="s">
        <v>15</v>
      </c>
      <c r="N74" s="702" t="s">
        <v>56</v>
      </c>
      <c r="O74" s="703">
        <f ca="1">IF(VLOOKUP($N74,Data!$C:$H,1,TRUE)=$N74,VLOOKUP($N74,Data!$C:$H,6,TRUE),NA())</f>
        <v>0</v>
      </c>
      <c r="P74" s="703">
        <f t="shared" ref="P74:P137" ca="1" si="1">VLOOKUP($M74, INDIRECT("'"&amp;$L74&amp;"'!"&amp;"$D:$J"), 7,FALSE)</f>
        <v>0</v>
      </c>
      <c r="Q74" s="466"/>
      <c r="R74" s="467"/>
      <c r="S74" s="297"/>
      <c r="T74" s="297"/>
      <c r="U74" s="297"/>
      <c r="V74" s="297"/>
      <c r="W74" s="467"/>
    </row>
    <row r="75" spans="1:23" ht="14" customHeight="1" x14ac:dyDescent="0.25">
      <c r="A75" s="332"/>
      <c r="B75" s="461"/>
      <c r="C75" s="686"/>
      <c r="H75" s="686"/>
      <c r="I75" s="686"/>
      <c r="J75" s="686"/>
      <c r="K75" s="686"/>
      <c r="L75" s="729" t="s">
        <v>0</v>
      </c>
      <c r="M75" s="281" t="s">
        <v>16</v>
      </c>
      <c r="N75" s="702" t="s">
        <v>58</v>
      </c>
      <c r="O75" s="703">
        <f ca="1">IF(VLOOKUP($N75,Data!$C:$H,1,TRUE)=$N75,VLOOKUP($N75,Data!$C:$H,6,TRUE),NA())</f>
        <v>0</v>
      </c>
      <c r="P75" s="703">
        <f t="shared" ca="1" si="1"/>
        <v>0</v>
      </c>
      <c r="Q75" s="466"/>
      <c r="R75" s="467"/>
      <c r="S75" s="297"/>
      <c r="T75" s="297"/>
      <c r="U75" s="297"/>
      <c r="V75" s="297"/>
      <c r="W75" s="467"/>
    </row>
    <row r="76" spans="1:23" ht="14" customHeight="1" x14ac:dyDescent="0.25">
      <c r="A76" s="332"/>
      <c r="B76" s="461"/>
      <c r="C76" s="686"/>
      <c r="H76" s="686"/>
      <c r="I76" s="686"/>
      <c r="J76" s="686"/>
      <c r="K76" s="686"/>
      <c r="L76" s="730" t="s">
        <v>0</v>
      </c>
      <c r="M76" s="281" t="s">
        <v>18</v>
      </c>
      <c r="N76" s="702" t="s">
        <v>61</v>
      </c>
      <c r="O76" s="703">
        <f ca="1">IF(VLOOKUP($N76,Data!$C:$H,1,TRUE)=$N76,VLOOKUP($N76,Data!$C:$H,6,TRUE),NA())</f>
        <v>0</v>
      </c>
      <c r="P76" s="703">
        <f t="shared" ca="1" si="1"/>
        <v>0</v>
      </c>
      <c r="Q76" s="466"/>
      <c r="R76" s="467"/>
      <c r="S76" s="297"/>
      <c r="T76" s="297"/>
      <c r="U76" s="297"/>
      <c r="V76" s="297"/>
      <c r="W76" s="467"/>
    </row>
    <row r="77" spans="1:23" ht="14" customHeight="1" x14ac:dyDescent="0.25">
      <c r="A77" s="332"/>
      <c r="B77" s="461"/>
      <c r="C77" s="686"/>
      <c r="H77" s="686"/>
      <c r="I77" s="686"/>
      <c r="J77" s="686"/>
      <c r="K77" s="686"/>
      <c r="L77" s="729" t="s">
        <v>0</v>
      </c>
      <c r="M77" s="281" t="s">
        <v>20</v>
      </c>
      <c r="N77" s="702" t="s">
        <v>63</v>
      </c>
      <c r="O77" s="703">
        <f ca="1">IF(VLOOKUP($N77,Data!$C:$H,1,TRUE)=$N77,VLOOKUP($N77,Data!$C:$H,6,TRUE),NA())</f>
        <v>0</v>
      </c>
      <c r="P77" s="703">
        <f t="shared" ca="1" si="1"/>
        <v>0</v>
      </c>
      <c r="Q77" s="466"/>
      <c r="R77" s="467"/>
      <c r="S77" s="297"/>
      <c r="T77" s="297"/>
      <c r="U77" s="297"/>
      <c r="V77" s="297"/>
      <c r="W77" s="467"/>
    </row>
    <row r="78" spans="1:23" ht="14" customHeight="1" x14ac:dyDescent="0.25">
      <c r="A78" s="332"/>
      <c r="B78" s="461"/>
      <c r="C78" s="686"/>
      <c r="H78" s="686"/>
      <c r="I78" s="686"/>
      <c r="J78" s="686"/>
      <c r="K78" s="686"/>
      <c r="L78" s="730" t="s">
        <v>0</v>
      </c>
      <c r="M78" s="281" t="s">
        <v>21</v>
      </c>
      <c r="N78" s="702" t="s">
        <v>65</v>
      </c>
      <c r="O78" s="703">
        <f ca="1">IF(VLOOKUP($N78,Data!$C:$H,1,TRUE)=$N78,VLOOKUP($N78,Data!$C:$H,6,TRUE),NA())</f>
        <v>0</v>
      </c>
      <c r="P78" s="703">
        <f t="shared" ca="1" si="1"/>
        <v>0</v>
      </c>
      <c r="Q78" s="466"/>
      <c r="R78" s="467"/>
      <c r="S78" s="297"/>
      <c r="T78" s="297"/>
      <c r="U78" s="297"/>
      <c r="V78" s="297"/>
      <c r="W78" s="467"/>
    </row>
    <row r="79" spans="1:23" ht="14" customHeight="1" x14ac:dyDescent="0.25">
      <c r="A79" s="332"/>
      <c r="B79" s="461"/>
      <c r="C79" s="686"/>
      <c r="H79" s="686"/>
      <c r="I79" s="686"/>
      <c r="J79" s="686"/>
      <c r="K79" s="686"/>
      <c r="L79" s="729" t="s">
        <v>0</v>
      </c>
      <c r="M79" s="281" t="s">
        <v>22</v>
      </c>
      <c r="N79" s="702" t="s">
        <v>67</v>
      </c>
      <c r="O79" s="703">
        <f ca="1">IF(VLOOKUP($N79,Data!$C:$H,1,TRUE)=$N79,VLOOKUP($N79,Data!$C:$H,6,TRUE),NA())</f>
        <v>0</v>
      </c>
      <c r="P79" s="703">
        <f t="shared" ca="1" si="1"/>
        <v>0</v>
      </c>
      <c r="Q79" s="466"/>
      <c r="R79" s="467"/>
      <c r="S79" s="297"/>
      <c r="T79" s="297"/>
      <c r="U79" s="297"/>
      <c r="V79" s="297"/>
      <c r="W79" s="467"/>
    </row>
    <row r="80" spans="1:23" ht="14" customHeight="1" x14ac:dyDescent="0.25">
      <c r="A80" s="332"/>
      <c r="B80" s="461"/>
      <c r="C80" s="686"/>
      <c r="H80" s="686"/>
      <c r="I80" s="686"/>
      <c r="J80" s="686"/>
      <c r="K80" s="686"/>
      <c r="L80" s="730" t="s">
        <v>0</v>
      </c>
      <c r="M80" s="281" t="s">
        <v>23</v>
      </c>
      <c r="N80" s="702" t="s">
        <v>70</v>
      </c>
      <c r="O80" s="703">
        <f ca="1">IF(VLOOKUP($N80,Data!$C:$H,1,TRUE)=$N80,VLOOKUP($N80,Data!$C:$H,6,TRUE),NA())</f>
        <v>0</v>
      </c>
      <c r="P80" s="703">
        <f t="shared" ca="1" si="1"/>
        <v>0</v>
      </c>
      <c r="Q80" s="466"/>
      <c r="R80" s="467"/>
      <c r="S80" s="297"/>
      <c r="T80" s="297"/>
      <c r="U80" s="297"/>
      <c r="V80" s="297"/>
      <c r="W80" s="467"/>
    </row>
    <row r="81" spans="1:23" ht="14" customHeight="1" x14ac:dyDescent="0.25">
      <c r="A81" s="332"/>
      <c r="B81" s="461"/>
      <c r="C81" s="686"/>
      <c r="H81" s="686"/>
      <c r="I81" s="686"/>
      <c r="J81" s="686"/>
      <c r="K81" s="686"/>
      <c r="L81" s="729" t="s">
        <v>0</v>
      </c>
      <c r="M81" s="281" t="s">
        <v>24</v>
      </c>
      <c r="N81" s="702" t="s">
        <v>73</v>
      </c>
      <c r="O81" s="703">
        <f ca="1">IF(VLOOKUP($N81,Data!$C:$H,1,TRUE)=$N81,VLOOKUP($N81,Data!$C:$H,6,TRUE),NA())</f>
        <v>0</v>
      </c>
      <c r="P81" s="703">
        <f t="shared" ca="1" si="1"/>
        <v>0</v>
      </c>
      <c r="Q81" s="466"/>
      <c r="R81" s="467"/>
      <c r="S81" s="297"/>
      <c r="T81" s="297"/>
      <c r="U81" s="297"/>
      <c r="V81" s="297"/>
      <c r="W81" s="467"/>
    </row>
    <row r="82" spans="1:23" ht="14" customHeight="1" x14ac:dyDescent="0.25">
      <c r="A82" s="332"/>
      <c r="B82" s="461"/>
      <c r="C82" s="686"/>
      <c r="H82" s="686"/>
      <c r="I82" s="686"/>
      <c r="J82" s="686"/>
      <c r="K82" s="686"/>
      <c r="L82" s="730" t="s">
        <v>0</v>
      </c>
      <c r="M82" s="281" t="s">
        <v>25</v>
      </c>
      <c r="N82" s="702" t="s">
        <v>75</v>
      </c>
      <c r="O82" s="703">
        <f ca="1">IF(VLOOKUP($N82,Data!$C:$H,1,TRUE)=$N82,VLOOKUP($N82,Data!$C:$H,6,TRUE),NA())</f>
        <v>0</v>
      </c>
      <c r="P82" s="703">
        <f t="shared" ca="1" si="1"/>
        <v>0</v>
      </c>
      <c r="Q82" s="466"/>
      <c r="R82" s="467"/>
      <c r="S82" s="297"/>
      <c r="T82" s="297"/>
      <c r="U82" s="297"/>
      <c r="V82" s="297"/>
      <c r="W82" s="467"/>
    </row>
    <row r="83" spans="1:23" ht="14" customHeight="1" x14ac:dyDescent="0.25">
      <c r="A83" s="332"/>
      <c r="B83" s="461"/>
      <c r="C83" s="686"/>
      <c r="H83" s="686"/>
      <c r="I83" s="686"/>
      <c r="J83" s="686"/>
      <c r="K83" s="686"/>
      <c r="L83" s="729" t="s">
        <v>0</v>
      </c>
      <c r="M83" s="281" t="s">
        <v>26</v>
      </c>
      <c r="N83" s="702" t="s">
        <v>78</v>
      </c>
      <c r="O83" s="703">
        <f ca="1">IF(VLOOKUP($N83,Data!$C:$H,1,TRUE)=$N83,VLOOKUP($N83,Data!$C:$H,6,TRUE),NA())</f>
        <v>0</v>
      </c>
      <c r="P83" s="703">
        <f t="shared" ca="1" si="1"/>
        <v>0</v>
      </c>
      <c r="Q83" s="466"/>
      <c r="R83" s="467"/>
      <c r="S83" s="297"/>
      <c r="T83" s="297"/>
      <c r="U83" s="297"/>
      <c r="V83" s="297"/>
      <c r="W83" s="467"/>
    </row>
    <row r="84" spans="1:23" ht="14" customHeight="1" x14ac:dyDescent="0.25">
      <c r="A84" s="332"/>
      <c r="B84" s="461"/>
      <c r="C84" s="686"/>
      <c r="H84" s="686"/>
      <c r="I84" s="686"/>
      <c r="J84" s="686"/>
      <c r="K84" s="686"/>
      <c r="L84" s="730" t="s">
        <v>0</v>
      </c>
      <c r="M84" s="281" t="s">
        <v>27</v>
      </c>
      <c r="N84" s="702" t="s">
        <v>81</v>
      </c>
      <c r="O84" s="703">
        <f ca="1">IF(VLOOKUP($N84,Data!$C:$H,1,TRUE)=$N84,VLOOKUP($N84,Data!$C:$H,6,TRUE),NA())</f>
        <v>0</v>
      </c>
      <c r="P84" s="703">
        <f t="shared" ca="1" si="1"/>
        <v>0</v>
      </c>
      <c r="Q84" s="466"/>
      <c r="R84" s="467"/>
      <c r="S84" s="297"/>
      <c r="T84" s="297"/>
      <c r="U84" s="297"/>
      <c r="V84" s="297"/>
      <c r="W84" s="467"/>
    </row>
    <row r="85" spans="1:23" ht="14" customHeight="1" x14ac:dyDescent="0.25">
      <c r="A85" s="332"/>
      <c r="B85" s="461"/>
      <c r="C85" s="686"/>
      <c r="H85" s="686"/>
      <c r="I85" s="686"/>
      <c r="J85" s="686"/>
      <c r="K85" s="686"/>
      <c r="L85" s="729" t="s">
        <v>0</v>
      </c>
      <c r="M85" s="281" t="s">
        <v>28</v>
      </c>
      <c r="N85" s="702" t="s">
        <v>84</v>
      </c>
      <c r="O85" s="703">
        <f ca="1">IF(VLOOKUP($N85,Data!$C:$H,1,TRUE)=$N85,VLOOKUP($N85,Data!$C:$H,6,TRUE),NA())</f>
        <v>0</v>
      </c>
      <c r="P85" s="703">
        <f t="shared" ca="1" si="1"/>
        <v>0</v>
      </c>
      <c r="Q85" s="466"/>
      <c r="R85" s="467"/>
      <c r="S85" s="297"/>
      <c r="T85" s="297"/>
      <c r="U85" s="297"/>
      <c r="V85" s="297"/>
      <c r="W85" s="467"/>
    </row>
    <row r="86" spans="1:23" ht="14" customHeight="1" x14ac:dyDescent="0.25">
      <c r="A86" s="332"/>
      <c r="B86" s="461"/>
      <c r="C86" s="686"/>
      <c r="H86" s="686"/>
      <c r="I86" s="686"/>
      <c r="J86" s="686"/>
      <c r="K86" s="686"/>
      <c r="L86" s="730" t="s">
        <v>0</v>
      </c>
      <c r="M86" s="281" t="s">
        <v>29</v>
      </c>
      <c r="N86" s="702" t="s">
        <v>86</v>
      </c>
      <c r="O86" s="703">
        <f ca="1">IF(VLOOKUP($N86,Data!$C:$H,1,TRUE)=$N86,VLOOKUP($N86,Data!$C:$H,6,TRUE),NA())</f>
        <v>0</v>
      </c>
      <c r="P86" s="703">
        <f t="shared" ca="1" si="1"/>
        <v>0</v>
      </c>
      <c r="Q86" s="466"/>
      <c r="R86" s="467"/>
      <c r="S86" s="297"/>
      <c r="T86" s="297"/>
      <c r="U86" s="297"/>
      <c r="V86" s="297"/>
      <c r="W86" s="467"/>
    </row>
    <row r="87" spans="1:23" ht="14" customHeight="1" x14ac:dyDescent="0.25">
      <c r="A87" s="332"/>
      <c r="B87" s="461"/>
      <c r="C87" s="686"/>
      <c r="H87" s="686"/>
      <c r="I87" s="686"/>
      <c r="J87" s="686"/>
      <c r="K87" s="686"/>
      <c r="L87" s="729" t="s">
        <v>0</v>
      </c>
      <c r="M87" s="281" t="s">
        <v>30</v>
      </c>
      <c r="N87" s="702" t="s">
        <v>88</v>
      </c>
      <c r="O87" s="703">
        <f ca="1">IF(VLOOKUP($N87,Data!$C:$H,1,TRUE)=$N87,VLOOKUP($N87,Data!$C:$H,6,TRUE),NA())</f>
        <v>0</v>
      </c>
      <c r="P87" s="703">
        <f t="shared" ca="1" si="1"/>
        <v>0</v>
      </c>
      <c r="Q87" s="466"/>
      <c r="R87" s="467"/>
      <c r="S87" s="297"/>
      <c r="T87" s="297"/>
      <c r="U87" s="297"/>
      <c r="V87" s="297"/>
      <c r="W87" s="467"/>
    </row>
    <row r="88" spans="1:23" ht="14" customHeight="1" x14ac:dyDescent="0.25">
      <c r="A88" s="332"/>
      <c r="B88" s="461"/>
      <c r="C88" s="686"/>
      <c r="H88" s="686"/>
      <c r="I88" s="686"/>
      <c r="J88" s="686"/>
      <c r="K88" s="686"/>
      <c r="L88" s="730" t="s">
        <v>0</v>
      </c>
      <c r="M88" s="281" t="s">
        <v>31</v>
      </c>
      <c r="N88" s="702" t="s">
        <v>90</v>
      </c>
      <c r="O88" s="703">
        <f ca="1">IF(VLOOKUP($N88,Data!$C:$H,1,TRUE)=$N88,VLOOKUP($N88,Data!$C:$H,6,TRUE),NA())</f>
        <v>0</v>
      </c>
      <c r="P88" s="703">
        <f t="shared" ca="1" si="1"/>
        <v>0</v>
      </c>
      <c r="Q88" s="466"/>
      <c r="R88" s="467"/>
      <c r="S88" s="297"/>
      <c r="T88" s="297"/>
      <c r="U88" s="297"/>
      <c r="V88" s="297"/>
      <c r="W88" s="467"/>
    </row>
    <row r="89" spans="1:23" ht="14" customHeight="1" x14ac:dyDescent="0.25">
      <c r="A89" s="332"/>
      <c r="B89" s="461"/>
      <c r="C89" s="686"/>
      <c r="H89" s="686"/>
      <c r="I89" s="686"/>
      <c r="J89" s="686"/>
      <c r="K89" s="686"/>
      <c r="L89" s="729" t="s">
        <v>51</v>
      </c>
      <c r="M89" s="281" t="s">
        <v>7</v>
      </c>
      <c r="N89" s="702" t="s">
        <v>92</v>
      </c>
      <c r="O89" s="703">
        <f ca="1">IF(VLOOKUP($N89,Data!$C:$H,1,TRUE)=$N89,VLOOKUP($N89,Data!$C:$H,6,TRUE),NA())</f>
        <v>0</v>
      </c>
      <c r="P89" s="703">
        <f t="shared" ca="1" si="1"/>
        <v>0</v>
      </c>
      <c r="Q89" s="466"/>
      <c r="R89" s="467"/>
      <c r="S89" s="297"/>
      <c r="T89" s="297"/>
      <c r="U89" s="297"/>
      <c r="V89" s="297"/>
      <c r="W89" s="467"/>
    </row>
    <row r="90" spans="1:23" ht="14" customHeight="1" x14ac:dyDescent="0.25">
      <c r="A90" s="332"/>
      <c r="B90" s="461"/>
      <c r="C90" s="686"/>
      <c r="H90" s="686"/>
      <c r="I90" s="686"/>
      <c r="J90" s="686"/>
      <c r="K90" s="686"/>
      <c r="L90" s="730" t="s">
        <v>51</v>
      </c>
      <c r="M90" s="281" t="s">
        <v>9</v>
      </c>
      <c r="N90" s="702" t="s">
        <v>94</v>
      </c>
      <c r="O90" s="703">
        <f ca="1">IF(VLOOKUP($N90,Data!$C:$H,1,TRUE)=$N90,VLOOKUP($N90,Data!$C:$H,6,TRUE),NA())</f>
        <v>0</v>
      </c>
      <c r="P90" s="703">
        <f t="shared" ca="1" si="1"/>
        <v>0</v>
      </c>
      <c r="Q90" s="466"/>
      <c r="R90" s="467"/>
      <c r="S90" s="297"/>
      <c r="T90" s="297"/>
      <c r="U90" s="297"/>
      <c r="V90" s="297"/>
      <c r="W90" s="467"/>
    </row>
    <row r="91" spans="1:23" ht="14" customHeight="1" x14ac:dyDescent="0.25">
      <c r="A91" s="332"/>
      <c r="B91" s="461"/>
      <c r="C91" s="686"/>
      <c r="H91" s="686"/>
      <c r="I91" s="686"/>
      <c r="J91" s="686"/>
      <c r="K91" s="686"/>
      <c r="L91" s="729" t="s">
        <v>51</v>
      </c>
      <c r="M91" s="281" t="s">
        <v>10</v>
      </c>
      <c r="N91" s="702" t="s">
        <v>95</v>
      </c>
      <c r="O91" s="703">
        <f ca="1">IF(VLOOKUP($N91,Data!$C:$H,1,TRUE)=$N91,VLOOKUP($N91,Data!$C:$H,6,TRUE),NA())</f>
        <v>0</v>
      </c>
      <c r="P91" s="703">
        <f t="shared" ca="1" si="1"/>
        <v>0</v>
      </c>
      <c r="Q91" s="466"/>
      <c r="R91" s="467"/>
      <c r="S91" s="297"/>
      <c r="T91" s="297"/>
      <c r="U91" s="297"/>
      <c r="V91" s="297"/>
      <c r="W91" s="467"/>
    </row>
    <row r="92" spans="1:23" ht="14" customHeight="1" x14ac:dyDescent="0.25">
      <c r="A92" s="332"/>
      <c r="B92" s="461"/>
      <c r="C92" s="686"/>
      <c r="H92" s="686"/>
      <c r="I92" s="686"/>
      <c r="J92" s="686"/>
      <c r="K92" s="686"/>
      <c r="L92" s="730" t="s">
        <v>51</v>
      </c>
      <c r="M92" s="281" t="s">
        <v>11</v>
      </c>
      <c r="N92" s="702" t="s">
        <v>97</v>
      </c>
      <c r="O92" s="703">
        <f ca="1">IF(VLOOKUP($N92,Data!$C:$H,1,TRUE)=$N92,VLOOKUP($N92,Data!$C:$H,6,TRUE),NA())</f>
        <v>0</v>
      </c>
      <c r="P92" s="703">
        <f t="shared" ca="1" si="1"/>
        <v>0</v>
      </c>
      <c r="Q92" s="466"/>
      <c r="R92" s="467"/>
      <c r="S92" s="297"/>
      <c r="T92" s="297"/>
      <c r="U92" s="297"/>
      <c r="V92" s="297"/>
      <c r="W92" s="467"/>
    </row>
    <row r="93" spans="1:23" ht="14" customHeight="1" x14ac:dyDescent="0.25">
      <c r="A93" s="332"/>
      <c r="B93" s="461"/>
      <c r="C93" s="686"/>
      <c r="H93" s="686"/>
      <c r="I93" s="686"/>
      <c r="J93" s="686"/>
      <c r="K93" s="686"/>
      <c r="L93" s="729" t="s">
        <v>51</v>
      </c>
      <c r="M93" s="281" t="s">
        <v>12</v>
      </c>
      <c r="N93" s="702" t="s">
        <v>99</v>
      </c>
      <c r="O93" s="703">
        <f ca="1">IF(VLOOKUP($N93,Data!$C:$H,1,TRUE)=$N93,VLOOKUP($N93,Data!$C:$H,6,TRUE),NA())</f>
        <v>0</v>
      </c>
      <c r="P93" s="703">
        <f t="shared" ca="1" si="1"/>
        <v>0</v>
      </c>
      <c r="Q93" s="466"/>
      <c r="R93" s="467"/>
      <c r="S93" s="297"/>
      <c r="T93" s="297"/>
      <c r="U93" s="297"/>
      <c r="V93" s="297"/>
      <c r="W93" s="467"/>
    </row>
    <row r="94" spans="1:23" ht="14" customHeight="1" x14ac:dyDescent="0.25">
      <c r="A94" s="332"/>
      <c r="B94" s="461"/>
      <c r="C94" s="686"/>
      <c r="H94" s="686"/>
      <c r="I94" s="686"/>
      <c r="J94" s="686"/>
      <c r="K94" s="686"/>
      <c r="L94" s="730" t="s">
        <v>51</v>
      </c>
      <c r="M94" s="281" t="s">
        <v>13</v>
      </c>
      <c r="N94" s="702" t="s">
        <v>101</v>
      </c>
      <c r="O94" s="703">
        <f ca="1">IF(VLOOKUP($N94,Data!$C:$H,1,TRUE)=$N94,VLOOKUP($N94,Data!$C:$H,6,TRUE),NA())</f>
        <v>0</v>
      </c>
      <c r="P94" s="703">
        <f t="shared" ca="1" si="1"/>
        <v>0</v>
      </c>
      <c r="Q94" s="466"/>
      <c r="R94" s="467"/>
      <c r="S94" s="297"/>
      <c r="T94" s="297"/>
      <c r="U94" s="297"/>
      <c r="V94" s="297"/>
      <c r="W94" s="467"/>
    </row>
    <row r="95" spans="1:23" ht="14" customHeight="1" x14ac:dyDescent="0.25">
      <c r="A95" s="332"/>
      <c r="B95" s="461"/>
      <c r="C95" s="686"/>
      <c r="H95" s="686"/>
      <c r="I95" s="686"/>
      <c r="J95" s="686"/>
      <c r="K95" s="686"/>
      <c r="L95" s="729" t="s">
        <v>51</v>
      </c>
      <c r="M95" s="281" t="s">
        <v>20</v>
      </c>
      <c r="N95" s="702" t="s">
        <v>103</v>
      </c>
      <c r="O95" s="703">
        <f ca="1">IF(VLOOKUP($N95,Data!$C:$H,1,TRUE)=$N95,VLOOKUP($N95,Data!$C:$H,6,TRUE),NA())</f>
        <v>0</v>
      </c>
      <c r="P95" s="703">
        <f t="shared" ca="1" si="1"/>
        <v>0</v>
      </c>
      <c r="Q95" s="466"/>
      <c r="R95" s="467"/>
      <c r="S95" s="297"/>
      <c r="T95" s="297"/>
      <c r="U95" s="297"/>
      <c r="V95" s="297"/>
      <c r="W95" s="467"/>
    </row>
    <row r="96" spans="1:23" ht="14" customHeight="1" x14ac:dyDescent="0.25">
      <c r="A96" s="332"/>
      <c r="B96" s="461"/>
      <c r="C96" s="686"/>
      <c r="H96" s="686"/>
      <c r="I96" s="686"/>
      <c r="J96" s="686"/>
      <c r="K96" s="686"/>
      <c r="L96" s="730" t="s">
        <v>51</v>
      </c>
      <c r="M96" s="281" t="s">
        <v>21</v>
      </c>
      <c r="N96" s="702" t="s">
        <v>104</v>
      </c>
      <c r="O96" s="703">
        <f ca="1">IF(VLOOKUP($N96,Data!$C:$H,1,TRUE)=$N96,VLOOKUP($N96,Data!$C:$H,6,TRUE),NA())</f>
        <v>0</v>
      </c>
      <c r="P96" s="703">
        <f t="shared" ca="1" si="1"/>
        <v>0</v>
      </c>
      <c r="Q96" s="466"/>
      <c r="R96" s="467"/>
      <c r="S96" s="297"/>
      <c r="T96" s="297"/>
      <c r="U96" s="297"/>
      <c r="V96" s="297"/>
      <c r="W96" s="467"/>
    </row>
    <row r="97" spans="1:23" ht="14" customHeight="1" x14ac:dyDescent="0.25">
      <c r="A97" s="332"/>
      <c r="B97" s="461"/>
      <c r="C97" s="686"/>
      <c r="H97" s="686"/>
      <c r="I97" s="686"/>
      <c r="J97" s="686"/>
      <c r="K97" s="686"/>
      <c r="L97" s="729" t="s">
        <v>51</v>
      </c>
      <c r="M97" s="281" t="s">
        <v>22</v>
      </c>
      <c r="N97" s="702" t="s">
        <v>106</v>
      </c>
      <c r="O97" s="703">
        <f ca="1">IF(VLOOKUP($N97,Data!$C:$H,1,TRUE)=$N97,VLOOKUP($N97,Data!$C:$H,6,TRUE),NA())</f>
        <v>0</v>
      </c>
      <c r="P97" s="703">
        <f t="shared" ca="1" si="1"/>
        <v>0</v>
      </c>
      <c r="Q97" s="466"/>
      <c r="R97" s="467"/>
      <c r="S97" s="297"/>
      <c r="T97" s="297"/>
      <c r="U97" s="297"/>
      <c r="V97" s="297"/>
      <c r="W97" s="467"/>
    </row>
    <row r="98" spans="1:23" ht="14" customHeight="1" x14ac:dyDescent="0.25">
      <c r="A98" s="332"/>
      <c r="B98" s="461"/>
      <c r="C98" s="686"/>
      <c r="H98" s="686"/>
      <c r="I98" s="686"/>
      <c r="J98" s="686"/>
      <c r="K98" s="686"/>
      <c r="L98" s="730" t="s">
        <v>51</v>
      </c>
      <c r="M98" s="281" t="s">
        <v>23</v>
      </c>
      <c r="N98" s="702" t="s">
        <v>108</v>
      </c>
      <c r="O98" s="703">
        <f ca="1">IF(VLOOKUP($N98,Data!$C:$H,1,TRUE)=$N98,VLOOKUP($N98,Data!$C:$H,6,TRUE),NA())</f>
        <v>0</v>
      </c>
      <c r="P98" s="703">
        <f t="shared" ca="1" si="1"/>
        <v>0</v>
      </c>
      <c r="Q98" s="466"/>
      <c r="R98" s="467"/>
      <c r="S98" s="297"/>
      <c r="T98" s="297"/>
      <c r="U98" s="297"/>
      <c r="V98" s="297"/>
      <c r="W98" s="467"/>
    </row>
    <row r="99" spans="1:23" ht="14" customHeight="1" x14ac:dyDescent="0.25">
      <c r="A99" s="332"/>
      <c r="B99" s="461"/>
      <c r="C99" s="686"/>
      <c r="H99" s="686"/>
      <c r="I99" s="686"/>
      <c r="J99" s="686"/>
      <c r="K99" s="686"/>
      <c r="L99" s="729" t="s">
        <v>51</v>
      </c>
      <c r="M99" s="281" t="s">
        <v>24</v>
      </c>
      <c r="N99" s="702" t="s">
        <v>110</v>
      </c>
      <c r="O99" s="703">
        <f ca="1">IF(VLOOKUP($N99,Data!$C:$H,1,TRUE)=$N99,VLOOKUP($N99,Data!$C:$H,6,TRUE),NA())</f>
        <v>0</v>
      </c>
      <c r="P99" s="703">
        <f t="shared" ca="1" si="1"/>
        <v>0</v>
      </c>
      <c r="Q99" s="466"/>
      <c r="R99" s="467"/>
      <c r="S99" s="297"/>
      <c r="T99" s="297"/>
      <c r="U99" s="297"/>
      <c r="V99" s="297"/>
      <c r="W99" s="467"/>
    </row>
    <row r="100" spans="1:23" ht="14" customHeight="1" x14ac:dyDescent="0.25">
      <c r="A100" s="332"/>
      <c r="B100" s="461"/>
      <c r="C100" s="686"/>
      <c r="H100" s="686"/>
      <c r="I100" s="686"/>
      <c r="J100" s="686"/>
      <c r="K100" s="686"/>
      <c r="L100" s="730" t="s">
        <v>51</v>
      </c>
      <c r="M100" s="281" t="s">
        <v>112</v>
      </c>
      <c r="N100" s="702" t="s">
        <v>111</v>
      </c>
      <c r="O100" s="703">
        <f ca="1">IF(VLOOKUP($N100,Data!$C:$H,1,TRUE)=$N100,VLOOKUP($N100,Data!$C:$H,6,TRUE),NA())</f>
        <v>0</v>
      </c>
      <c r="P100" s="703">
        <f t="shared" ca="1" si="1"/>
        <v>0</v>
      </c>
      <c r="Q100" s="466"/>
      <c r="R100" s="467"/>
      <c r="S100" s="297"/>
      <c r="T100" s="297"/>
      <c r="U100" s="297"/>
      <c r="V100" s="297"/>
      <c r="W100" s="467"/>
    </row>
    <row r="101" spans="1:23" ht="14" customHeight="1" x14ac:dyDescent="0.25">
      <c r="A101" s="332"/>
      <c r="B101" s="461"/>
      <c r="C101" s="686"/>
      <c r="H101" s="686"/>
      <c r="I101" s="686"/>
      <c r="J101" s="686"/>
      <c r="K101" s="686"/>
      <c r="L101" s="729" t="s">
        <v>51</v>
      </c>
      <c r="M101" s="281" t="s">
        <v>25</v>
      </c>
      <c r="N101" s="702" t="s">
        <v>114</v>
      </c>
      <c r="O101" s="703">
        <f ca="1">IF(VLOOKUP($N101,Data!$C:$H,1,TRUE)=$N101,VLOOKUP($N101,Data!$C:$H,6,TRUE),NA())</f>
        <v>0</v>
      </c>
      <c r="P101" s="703">
        <f t="shared" ca="1" si="1"/>
        <v>0</v>
      </c>
      <c r="Q101" s="466"/>
      <c r="R101" s="467"/>
      <c r="S101" s="297"/>
      <c r="T101" s="297"/>
      <c r="U101" s="297"/>
      <c r="V101" s="297"/>
      <c r="W101" s="467"/>
    </row>
    <row r="102" spans="1:23" ht="14" customHeight="1" x14ac:dyDescent="0.25">
      <c r="A102" s="332"/>
      <c r="B102" s="461"/>
      <c r="C102" s="686"/>
      <c r="H102" s="686"/>
      <c r="I102" s="686"/>
      <c r="J102" s="686"/>
      <c r="K102" s="686"/>
      <c r="L102" s="730" t="s">
        <v>51</v>
      </c>
      <c r="M102" s="281" t="s">
        <v>26</v>
      </c>
      <c r="N102" s="702" t="s">
        <v>116</v>
      </c>
      <c r="O102" s="703">
        <f ca="1">IF(VLOOKUP($N102,Data!$C:$H,1,TRUE)=$N102,VLOOKUP($N102,Data!$C:$H,6,TRUE),NA())</f>
        <v>0</v>
      </c>
      <c r="P102" s="703">
        <f t="shared" ca="1" si="1"/>
        <v>0</v>
      </c>
      <c r="Q102" s="466"/>
      <c r="R102" s="467"/>
      <c r="S102" s="297"/>
      <c r="T102" s="297"/>
      <c r="U102" s="297"/>
      <c r="V102" s="297"/>
      <c r="W102" s="467"/>
    </row>
    <row r="103" spans="1:23" ht="14" customHeight="1" x14ac:dyDescent="0.25">
      <c r="A103" s="332"/>
      <c r="B103" s="461"/>
      <c r="C103" s="686"/>
      <c r="H103" s="686"/>
      <c r="I103" s="686"/>
      <c r="J103" s="686"/>
      <c r="K103" s="686"/>
      <c r="L103" s="729" t="s">
        <v>51</v>
      </c>
      <c r="M103" s="281" t="s">
        <v>27</v>
      </c>
      <c r="N103" s="702" t="s">
        <v>118</v>
      </c>
      <c r="O103" s="703">
        <f ca="1">IF(VLOOKUP($N103,Data!$C:$H,1,TRUE)=$N103,VLOOKUP($N103,Data!$C:$H,6,TRUE),NA())</f>
        <v>0</v>
      </c>
      <c r="P103" s="703">
        <f t="shared" ca="1" si="1"/>
        <v>0</v>
      </c>
      <c r="Q103" s="466"/>
      <c r="R103" s="467"/>
      <c r="S103" s="297"/>
      <c r="T103" s="297"/>
      <c r="U103" s="297"/>
      <c r="V103" s="297"/>
      <c r="W103" s="467"/>
    </row>
    <row r="104" spans="1:23" ht="14" customHeight="1" x14ac:dyDescent="0.25">
      <c r="A104" s="332"/>
      <c r="B104" s="461"/>
      <c r="C104" s="686"/>
      <c r="H104" s="686"/>
      <c r="I104" s="686"/>
      <c r="J104" s="686"/>
      <c r="K104" s="686"/>
      <c r="L104" s="730" t="s">
        <v>51</v>
      </c>
      <c r="M104" s="281" t="s">
        <v>28</v>
      </c>
      <c r="N104" s="702" t="s">
        <v>120</v>
      </c>
      <c r="O104" s="703">
        <f ca="1">IF(VLOOKUP($N104,Data!$C:$H,1,TRUE)=$N104,VLOOKUP($N104,Data!$C:$H,6,TRUE),NA())</f>
        <v>0</v>
      </c>
      <c r="P104" s="703">
        <f t="shared" ca="1" si="1"/>
        <v>0</v>
      </c>
      <c r="Q104" s="466"/>
      <c r="R104" s="467"/>
      <c r="S104" s="297"/>
      <c r="T104" s="297"/>
      <c r="U104" s="297"/>
      <c r="V104" s="297"/>
      <c r="W104" s="467"/>
    </row>
    <row r="105" spans="1:23" ht="14" customHeight="1" x14ac:dyDescent="0.25">
      <c r="A105" s="332"/>
      <c r="B105" s="461"/>
      <c r="C105" s="686"/>
      <c r="H105" s="686"/>
      <c r="I105" s="686"/>
      <c r="J105" s="686"/>
      <c r="K105" s="686"/>
      <c r="L105" s="729" t="s">
        <v>51</v>
      </c>
      <c r="M105" s="281" t="s">
        <v>29</v>
      </c>
      <c r="N105" s="702" t="s">
        <v>122</v>
      </c>
      <c r="O105" s="703">
        <f ca="1">IF(VLOOKUP($N105,Data!$C:$H,1,TRUE)=$N105,VLOOKUP($N105,Data!$C:$H,6,TRUE),NA())</f>
        <v>0</v>
      </c>
      <c r="P105" s="703">
        <f t="shared" ca="1" si="1"/>
        <v>0</v>
      </c>
      <c r="Q105" s="466"/>
      <c r="R105" s="467"/>
      <c r="S105" s="297"/>
      <c r="T105" s="297"/>
      <c r="U105" s="297"/>
      <c r="V105" s="297"/>
      <c r="W105" s="467"/>
    </row>
    <row r="106" spans="1:23" ht="14" customHeight="1" x14ac:dyDescent="0.25">
      <c r="A106" s="332"/>
      <c r="B106" s="461"/>
      <c r="C106" s="686"/>
      <c r="H106" s="686"/>
      <c r="I106" s="686"/>
      <c r="J106" s="686"/>
      <c r="K106" s="686"/>
      <c r="L106" s="730" t="s">
        <v>51</v>
      </c>
      <c r="M106" s="281" t="s">
        <v>30</v>
      </c>
      <c r="N106" s="702" t="s">
        <v>123</v>
      </c>
      <c r="O106" s="703">
        <f ca="1">IF(VLOOKUP($N106,Data!$C:$H,1,TRUE)=$N106,VLOOKUP($N106,Data!$C:$H,6,TRUE),NA())</f>
        <v>0</v>
      </c>
      <c r="P106" s="703">
        <f t="shared" ca="1" si="1"/>
        <v>0</v>
      </c>
      <c r="Q106" s="466"/>
      <c r="R106" s="467"/>
      <c r="S106" s="297"/>
      <c r="T106" s="297"/>
      <c r="U106" s="297"/>
      <c r="V106" s="297"/>
      <c r="W106" s="467"/>
    </row>
    <row r="107" spans="1:23" ht="14" customHeight="1" x14ac:dyDescent="0.25">
      <c r="A107" s="332"/>
      <c r="B107" s="461"/>
      <c r="C107" s="686"/>
      <c r="H107" s="686"/>
      <c r="I107" s="686"/>
      <c r="J107" s="686"/>
      <c r="K107" s="686"/>
      <c r="L107" s="729" t="s">
        <v>51</v>
      </c>
      <c r="M107" s="281" t="s">
        <v>126</v>
      </c>
      <c r="N107" s="702" t="s">
        <v>125</v>
      </c>
      <c r="O107" s="703">
        <f ca="1">IF(VLOOKUP($N107,Data!$C:$H,1,TRUE)=$N107,VLOOKUP($N107,Data!$C:$H,6,TRUE),NA())</f>
        <v>0</v>
      </c>
      <c r="P107" s="703">
        <f t="shared" ca="1" si="1"/>
        <v>0</v>
      </c>
      <c r="Q107" s="466"/>
      <c r="R107" s="467"/>
      <c r="S107" s="297"/>
      <c r="T107" s="297"/>
      <c r="U107" s="297"/>
      <c r="V107" s="297"/>
      <c r="W107" s="467"/>
    </row>
    <row r="108" spans="1:23" ht="14" customHeight="1" x14ac:dyDescent="0.25">
      <c r="A108" s="332"/>
      <c r="B108" s="461"/>
      <c r="C108" s="686"/>
      <c r="H108" s="686"/>
      <c r="I108" s="686"/>
      <c r="J108" s="686"/>
      <c r="K108" s="686"/>
      <c r="L108" s="730" t="s">
        <v>51</v>
      </c>
      <c r="M108" s="281" t="s">
        <v>129</v>
      </c>
      <c r="N108" s="702" t="s">
        <v>128</v>
      </c>
      <c r="O108" s="703">
        <f ca="1">IF(VLOOKUP($N108,Data!$C:$H,1,TRUE)=$N108,VLOOKUP($N108,Data!$C:$H,6,TRUE),NA())</f>
        <v>0</v>
      </c>
      <c r="P108" s="703">
        <f t="shared" ca="1" si="1"/>
        <v>0</v>
      </c>
      <c r="Q108" s="466"/>
      <c r="R108" s="467"/>
      <c r="S108" s="297"/>
      <c r="T108" s="297"/>
      <c r="U108" s="297"/>
      <c r="V108" s="297"/>
      <c r="W108" s="467"/>
    </row>
    <row r="109" spans="1:23" ht="14" customHeight="1" x14ac:dyDescent="0.25">
      <c r="A109" s="332"/>
      <c r="B109" s="461"/>
      <c r="C109" s="686"/>
      <c r="H109" s="686"/>
      <c r="I109" s="686"/>
      <c r="J109" s="686"/>
      <c r="K109" s="686"/>
      <c r="L109" s="729" t="s">
        <v>51</v>
      </c>
      <c r="M109" s="281" t="s">
        <v>132</v>
      </c>
      <c r="N109" s="702" t="s">
        <v>131</v>
      </c>
      <c r="O109" s="703">
        <f ca="1">IF(VLOOKUP($N109,Data!$C:$H,1,TRUE)=$N109,VLOOKUP($N109,Data!$C:$H,6,TRUE),NA())</f>
        <v>0</v>
      </c>
      <c r="P109" s="703">
        <f t="shared" ca="1" si="1"/>
        <v>0</v>
      </c>
      <c r="Q109" s="466"/>
      <c r="R109" s="467"/>
      <c r="S109" s="297"/>
      <c r="T109" s="297"/>
      <c r="U109" s="297"/>
      <c r="V109" s="297"/>
      <c r="W109" s="467"/>
    </row>
    <row r="110" spans="1:23" ht="14" customHeight="1" x14ac:dyDescent="0.25">
      <c r="A110" s="332"/>
      <c r="B110" s="461"/>
      <c r="C110" s="686"/>
      <c r="H110" s="686"/>
      <c r="I110" s="686"/>
      <c r="J110" s="686"/>
      <c r="K110" s="686"/>
      <c r="L110" s="730" t="s">
        <v>51</v>
      </c>
      <c r="M110" s="281" t="s">
        <v>135</v>
      </c>
      <c r="N110" s="702" t="s">
        <v>134</v>
      </c>
      <c r="O110" s="703">
        <f ca="1">IF(VLOOKUP($N110,Data!$C:$H,1,TRUE)=$N110,VLOOKUP($N110,Data!$C:$H,6,TRUE),NA())</f>
        <v>0</v>
      </c>
      <c r="P110" s="703">
        <f t="shared" ca="1" si="1"/>
        <v>0</v>
      </c>
      <c r="Q110" s="466"/>
      <c r="R110" s="467"/>
      <c r="S110" s="297"/>
      <c r="T110" s="297"/>
      <c r="U110" s="297"/>
      <c r="V110" s="297"/>
      <c r="W110" s="467"/>
    </row>
    <row r="111" spans="1:23" ht="14" customHeight="1" x14ac:dyDescent="0.25">
      <c r="A111" s="332"/>
      <c r="B111" s="461"/>
      <c r="C111" s="686"/>
      <c r="H111" s="686"/>
      <c r="I111" s="686"/>
      <c r="J111" s="686"/>
      <c r="K111" s="686"/>
      <c r="L111" s="729" t="s">
        <v>51</v>
      </c>
      <c r="M111" s="281" t="s">
        <v>138</v>
      </c>
      <c r="N111" s="702" t="s">
        <v>137</v>
      </c>
      <c r="O111" s="703">
        <f ca="1">IF(VLOOKUP($N111,Data!$C:$H,1,TRUE)=$N111,VLOOKUP($N111,Data!$C:$H,6,TRUE),NA())</f>
        <v>0</v>
      </c>
      <c r="P111" s="703">
        <f t="shared" ca="1" si="1"/>
        <v>0</v>
      </c>
      <c r="Q111" s="466"/>
      <c r="R111" s="467"/>
      <c r="S111" s="297"/>
      <c r="T111" s="297"/>
      <c r="U111" s="297"/>
      <c r="V111" s="297"/>
      <c r="W111" s="467"/>
    </row>
    <row r="112" spans="1:23" ht="14" customHeight="1" x14ac:dyDescent="0.25">
      <c r="A112" s="332"/>
      <c r="B112" s="461"/>
      <c r="C112" s="686"/>
      <c r="H112" s="686"/>
      <c r="I112" s="686"/>
      <c r="J112" s="686"/>
      <c r="K112" s="686"/>
      <c r="L112" s="730" t="s">
        <v>51</v>
      </c>
      <c r="M112" s="281" t="s">
        <v>140</v>
      </c>
      <c r="N112" s="702" t="s">
        <v>139</v>
      </c>
      <c r="O112" s="703">
        <f ca="1">IF(VLOOKUP($N112,Data!$C:$H,1,TRUE)=$N112,VLOOKUP($N112,Data!$C:$H,6,TRUE),NA())</f>
        <v>0</v>
      </c>
      <c r="P112" s="703">
        <f t="shared" ca="1" si="1"/>
        <v>0</v>
      </c>
      <c r="Q112" s="466"/>
      <c r="R112" s="467"/>
      <c r="S112" s="297"/>
      <c r="T112" s="297"/>
      <c r="U112" s="297"/>
      <c r="V112" s="297"/>
      <c r="W112" s="467"/>
    </row>
    <row r="113" spans="1:23" ht="14" customHeight="1" x14ac:dyDescent="0.25">
      <c r="A113" s="332"/>
      <c r="B113" s="461"/>
      <c r="C113" s="686"/>
      <c r="H113" s="686"/>
      <c r="I113" s="686"/>
      <c r="J113" s="686"/>
      <c r="K113" s="686"/>
      <c r="L113" s="729" t="s">
        <v>51</v>
      </c>
      <c r="M113" s="281" t="s">
        <v>143</v>
      </c>
      <c r="N113" s="702" t="s">
        <v>142</v>
      </c>
      <c r="O113" s="703">
        <f ca="1">IF(VLOOKUP($N113,Data!$C:$H,1,TRUE)=$N113,VLOOKUP($N113,Data!$C:$H,6,TRUE),NA())</f>
        <v>0</v>
      </c>
      <c r="P113" s="703">
        <f t="shared" ca="1" si="1"/>
        <v>0</v>
      </c>
      <c r="Q113" s="466"/>
      <c r="R113" s="467"/>
      <c r="S113" s="297"/>
      <c r="T113" s="297"/>
      <c r="U113" s="297"/>
      <c r="V113" s="297"/>
      <c r="W113" s="467"/>
    </row>
    <row r="114" spans="1:23" ht="14" customHeight="1" x14ac:dyDescent="0.25">
      <c r="A114" s="332"/>
      <c r="B114" s="461"/>
      <c r="C114" s="686"/>
      <c r="H114" s="686"/>
      <c r="I114" s="686"/>
      <c r="J114" s="686"/>
      <c r="K114" s="686"/>
      <c r="L114" s="730" t="s">
        <v>51</v>
      </c>
      <c r="M114" s="281" t="s">
        <v>146</v>
      </c>
      <c r="N114" s="702" t="s">
        <v>145</v>
      </c>
      <c r="O114" s="703">
        <f ca="1">IF(VLOOKUP($N114,Data!$C:$H,1,TRUE)=$N114,VLOOKUP($N114,Data!$C:$H,6,TRUE),NA())</f>
        <v>0</v>
      </c>
      <c r="P114" s="703">
        <f t="shared" ca="1" si="1"/>
        <v>0</v>
      </c>
      <c r="Q114" s="466"/>
      <c r="R114" s="467"/>
      <c r="S114" s="297"/>
      <c r="T114" s="297"/>
      <c r="U114" s="297"/>
      <c r="V114" s="297"/>
      <c r="W114" s="467"/>
    </row>
    <row r="115" spans="1:23" ht="14" customHeight="1" x14ac:dyDescent="0.25">
      <c r="A115" s="332"/>
      <c r="B115" s="461"/>
      <c r="C115" s="686"/>
      <c r="H115" s="686"/>
      <c r="I115" s="686"/>
      <c r="J115" s="686"/>
      <c r="K115" s="686"/>
      <c r="L115" s="729" t="s">
        <v>51</v>
      </c>
      <c r="M115" s="281" t="s">
        <v>149</v>
      </c>
      <c r="N115" s="702" t="s">
        <v>148</v>
      </c>
      <c r="O115" s="703">
        <f ca="1">IF(VLOOKUP($N115,Data!$C:$H,1,TRUE)=$N115,VLOOKUP($N115,Data!$C:$H,6,TRUE),NA())</f>
        <v>0</v>
      </c>
      <c r="P115" s="703">
        <f t="shared" ca="1" si="1"/>
        <v>0</v>
      </c>
      <c r="Q115" s="466"/>
      <c r="R115" s="467"/>
      <c r="S115" s="297"/>
      <c r="T115" s="297"/>
      <c r="U115" s="297"/>
      <c r="V115" s="297"/>
      <c r="W115" s="467"/>
    </row>
    <row r="116" spans="1:23" ht="14" customHeight="1" x14ac:dyDescent="0.25">
      <c r="A116" s="332"/>
      <c r="B116" s="461"/>
      <c r="C116" s="686"/>
      <c r="H116" s="686"/>
      <c r="I116" s="686"/>
      <c r="J116" s="686"/>
      <c r="K116" s="686"/>
      <c r="L116" s="730" t="s">
        <v>51</v>
      </c>
      <c r="M116" s="281" t="s">
        <v>152</v>
      </c>
      <c r="N116" s="702" t="s">
        <v>151</v>
      </c>
      <c r="O116" s="703">
        <f ca="1">IF(VLOOKUP($N116,Data!$C:$H,1,TRUE)=$N116,VLOOKUP($N116,Data!$C:$H,6,TRUE),NA())</f>
        <v>0</v>
      </c>
      <c r="P116" s="703">
        <f t="shared" ca="1" si="1"/>
        <v>0</v>
      </c>
      <c r="Q116" s="466"/>
      <c r="R116" s="467"/>
      <c r="S116" s="297"/>
      <c r="T116" s="297"/>
      <c r="U116" s="297"/>
      <c r="V116" s="297"/>
      <c r="W116" s="467"/>
    </row>
    <row r="117" spans="1:23" ht="14" customHeight="1" x14ac:dyDescent="0.25">
      <c r="A117" s="332"/>
      <c r="B117" s="461"/>
      <c r="C117" s="686"/>
      <c r="H117" s="686"/>
      <c r="I117" s="686"/>
      <c r="J117" s="686"/>
      <c r="K117" s="686"/>
      <c r="L117" s="729" t="s">
        <v>51</v>
      </c>
      <c r="M117" s="281" t="s">
        <v>154</v>
      </c>
      <c r="N117" s="702" t="s">
        <v>153</v>
      </c>
      <c r="O117" s="703">
        <f ca="1">IF(VLOOKUP($N117,Data!$C:$H,1,TRUE)=$N117,VLOOKUP($N117,Data!$C:$H,6,TRUE),NA())</f>
        <v>0</v>
      </c>
      <c r="P117" s="703">
        <f t="shared" ca="1" si="1"/>
        <v>0</v>
      </c>
      <c r="Q117" s="466"/>
      <c r="R117" s="467"/>
      <c r="S117" s="297"/>
      <c r="T117" s="297"/>
      <c r="U117" s="297"/>
      <c r="V117" s="297"/>
      <c r="W117" s="467"/>
    </row>
    <row r="118" spans="1:23" ht="14" customHeight="1" x14ac:dyDescent="0.25">
      <c r="A118" s="332"/>
      <c r="B118" s="461"/>
      <c r="C118" s="686"/>
      <c r="H118" s="686"/>
      <c r="I118" s="686"/>
      <c r="J118" s="686"/>
      <c r="K118" s="686"/>
      <c r="L118" s="730" t="s">
        <v>51</v>
      </c>
      <c r="M118" s="281" t="s">
        <v>156</v>
      </c>
      <c r="N118" s="702" t="s">
        <v>155</v>
      </c>
      <c r="O118" s="703">
        <f ca="1">IF(VLOOKUP($N118,Data!$C:$H,1,TRUE)=$N118,VLOOKUP($N118,Data!$C:$H,6,TRUE),NA())</f>
        <v>0</v>
      </c>
      <c r="P118" s="703">
        <f t="shared" ca="1" si="1"/>
        <v>0</v>
      </c>
      <c r="Q118" s="466"/>
      <c r="R118" s="467"/>
      <c r="S118" s="297"/>
      <c r="T118" s="297"/>
      <c r="U118" s="297"/>
      <c r="V118" s="297"/>
      <c r="W118" s="467"/>
    </row>
    <row r="119" spans="1:23" ht="14" customHeight="1" x14ac:dyDescent="0.25">
      <c r="A119" s="332"/>
      <c r="B119" s="461"/>
      <c r="C119" s="686"/>
      <c r="H119" s="686"/>
      <c r="I119" s="686"/>
      <c r="J119" s="686"/>
      <c r="K119" s="686"/>
      <c r="L119" s="729" t="s">
        <v>51</v>
      </c>
      <c r="M119" s="281" t="s">
        <v>159</v>
      </c>
      <c r="N119" s="702" t="s">
        <v>158</v>
      </c>
      <c r="O119" s="703">
        <f ca="1">IF(VLOOKUP($N119,Data!$C:$H,1,TRUE)=$N119,VLOOKUP($N119,Data!$C:$H,6,TRUE),NA())</f>
        <v>0</v>
      </c>
      <c r="P119" s="703">
        <f t="shared" ca="1" si="1"/>
        <v>0</v>
      </c>
      <c r="Q119" s="466"/>
      <c r="R119" s="467"/>
      <c r="S119" s="297"/>
      <c r="T119" s="297"/>
      <c r="U119" s="297"/>
      <c r="V119" s="297"/>
      <c r="W119" s="467"/>
    </row>
    <row r="120" spans="1:23" ht="14" customHeight="1" x14ac:dyDescent="0.25">
      <c r="A120" s="332"/>
      <c r="B120" s="461"/>
      <c r="C120" s="686"/>
      <c r="H120" s="686"/>
      <c r="I120" s="686"/>
      <c r="J120" s="686"/>
      <c r="K120" s="686"/>
      <c r="L120" s="730" t="s">
        <v>64</v>
      </c>
      <c r="M120" s="281" t="s">
        <v>7</v>
      </c>
      <c r="N120" s="702" t="s">
        <v>161</v>
      </c>
      <c r="O120" s="703">
        <f ca="1">IF(VLOOKUP($N120,Data!$C:$H,1,TRUE)=$N120,VLOOKUP($N120,Data!$C:$H,6,TRUE),NA())</f>
        <v>0</v>
      </c>
      <c r="P120" s="703">
        <f t="shared" ca="1" si="1"/>
        <v>0</v>
      </c>
      <c r="Q120" s="466"/>
      <c r="R120" s="467"/>
      <c r="S120" s="297"/>
      <c r="T120" s="297"/>
      <c r="U120" s="297"/>
      <c r="V120" s="297"/>
      <c r="W120" s="467"/>
    </row>
    <row r="121" spans="1:23" ht="14" customHeight="1" x14ac:dyDescent="0.25">
      <c r="A121" s="332"/>
      <c r="B121" s="461"/>
      <c r="C121" s="686"/>
      <c r="H121" s="686"/>
      <c r="I121" s="686"/>
      <c r="J121" s="686"/>
      <c r="K121" s="686"/>
      <c r="L121" s="730" t="s">
        <v>64</v>
      </c>
      <c r="M121" s="281" t="s">
        <v>9</v>
      </c>
      <c r="N121" s="702" t="s">
        <v>163</v>
      </c>
      <c r="O121" s="703">
        <f ca="1">IF(VLOOKUP($N121,Data!$C:$H,1,TRUE)=$N121,VLOOKUP($N121,Data!$C:$H,6,TRUE),NA())</f>
        <v>0</v>
      </c>
      <c r="P121" s="703">
        <f t="shared" ca="1" si="1"/>
        <v>0</v>
      </c>
      <c r="Q121" s="466"/>
      <c r="R121" s="467"/>
      <c r="S121" s="297"/>
      <c r="T121" s="297"/>
      <c r="U121" s="297"/>
      <c r="V121" s="297"/>
      <c r="W121" s="467"/>
    </row>
    <row r="122" spans="1:23" ht="14" customHeight="1" x14ac:dyDescent="0.25">
      <c r="A122" s="332"/>
      <c r="B122" s="461"/>
      <c r="C122" s="686"/>
      <c r="H122" s="686"/>
      <c r="I122" s="686"/>
      <c r="J122" s="686"/>
      <c r="K122" s="686"/>
      <c r="L122" s="730" t="s">
        <v>64</v>
      </c>
      <c r="M122" s="281" t="s">
        <v>10</v>
      </c>
      <c r="N122" s="702" t="s">
        <v>164</v>
      </c>
      <c r="O122" s="703">
        <f ca="1">IF(VLOOKUP($N122,Data!$C:$H,1,TRUE)=$N122,VLOOKUP($N122,Data!$C:$H,6,TRUE),NA())</f>
        <v>0</v>
      </c>
      <c r="P122" s="703">
        <f t="shared" ca="1" si="1"/>
        <v>0</v>
      </c>
      <c r="Q122" s="466"/>
      <c r="R122" s="467"/>
      <c r="S122" s="297"/>
      <c r="T122" s="297"/>
      <c r="U122" s="297"/>
      <c r="V122" s="297"/>
      <c r="W122" s="467"/>
    </row>
    <row r="123" spans="1:23" ht="14" customHeight="1" x14ac:dyDescent="0.25">
      <c r="A123" s="332"/>
      <c r="B123" s="461"/>
      <c r="C123" s="686"/>
      <c r="H123" s="686"/>
      <c r="I123" s="686"/>
      <c r="J123" s="686"/>
      <c r="K123" s="686"/>
      <c r="L123" s="730" t="s">
        <v>64</v>
      </c>
      <c r="M123" s="281" t="s">
        <v>11</v>
      </c>
      <c r="N123" s="702" t="s">
        <v>165</v>
      </c>
      <c r="O123" s="703">
        <f ca="1">IF(VLOOKUP($N123,Data!$C:$H,1,TRUE)=$N123,VLOOKUP($N123,Data!$C:$H,6,TRUE),NA())</f>
        <v>0</v>
      </c>
      <c r="P123" s="703">
        <f t="shared" ca="1" si="1"/>
        <v>0</v>
      </c>
      <c r="Q123" s="466"/>
      <c r="R123" s="467"/>
      <c r="S123" s="297"/>
      <c r="T123" s="297"/>
      <c r="U123" s="297"/>
      <c r="V123" s="297"/>
      <c r="W123" s="467"/>
    </row>
    <row r="124" spans="1:23" ht="14" customHeight="1" x14ac:dyDescent="0.25">
      <c r="A124" s="332"/>
      <c r="B124" s="461"/>
      <c r="C124" s="686"/>
      <c r="H124" s="686"/>
      <c r="I124" s="686"/>
      <c r="J124" s="686"/>
      <c r="K124" s="686"/>
      <c r="L124" s="730" t="s">
        <v>64</v>
      </c>
      <c r="M124" s="281" t="s">
        <v>12</v>
      </c>
      <c r="N124" s="702" t="s">
        <v>166</v>
      </c>
      <c r="O124" s="703">
        <f ca="1">IF(VLOOKUP($N124,Data!$C:$H,1,TRUE)=$N124,VLOOKUP($N124,Data!$C:$H,6,TRUE),NA())</f>
        <v>0</v>
      </c>
      <c r="P124" s="703">
        <f t="shared" ca="1" si="1"/>
        <v>0</v>
      </c>
      <c r="Q124" s="466"/>
      <c r="R124" s="467"/>
      <c r="S124" s="297"/>
      <c r="T124" s="297"/>
      <c r="U124" s="297"/>
      <c r="V124" s="297"/>
      <c r="W124" s="467"/>
    </row>
    <row r="125" spans="1:23" ht="14" customHeight="1" x14ac:dyDescent="0.25">
      <c r="A125" s="332"/>
      <c r="B125" s="461"/>
      <c r="C125" s="686"/>
      <c r="H125" s="686"/>
      <c r="I125" s="686"/>
      <c r="J125" s="686"/>
      <c r="K125" s="686"/>
      <c r="L125" s="730" t="s">
        <v>64</v>
      </c>
      <c r="M125" s="281" t="s">
        <v>13</v>
      </c>
      <c r="N125" s="702" t="s">
        <v>167</v>
      </c>
      <c r="O125" s="703">
        <f ca="1">IF(VLOOKUP($N125,Data!$C:$H,1,TRUE)=$N125,VLOOKUP($N125,Data!$C:$H,6,TRUE),NA())</f>
        <v>0</v>
      </c>
      <c r="P125" s="703">
        <f t="shared" ca="1" si="1"/>
        <v>0</v>
      </c>
      <c r="Q125" s="466"/>
      <c r="R125" s="467"/>
      <c r="S125" s="297"/>
      <c r="T125" s="297"/>
      <c r="U125" s="297"/>
      <c r="V125" s="297"/>
      <c r="W125" s="467"/>
    </row>
    <row r="126" spans="1:23" ht="14" customHeight="1" x14ac:dyDescent="0.25">
      <c r="A126" s="332"/>
      <c r="B126" s="461"/>
      <c r="C126" s="686"/>
      <c r="H126" s="686"/>
      <c r="I126" s="686"/>
      <c r="J126" s="686"/>
      <c r="K126" s="686"/>
      <c r="L126" s="730" t="s">
        <v>64</v>
      </c>
      <c r="M126" s="281" t="s">
        <v>14</v>
      </c>
      <c r="N126" s="702" t="s">
        <v>168</v>
      </c>
      <c r="O126" s="703">
        <f ca="1">IF(VLOOKUP($N126,Data!$C:$H,1,TRUE)=$N126,VLOOKUP($N126,Data!$C:$H,6,TRUE),NA())</f>
        <v>0</v>
      </c>
      <c r="P126" s="703">
        <f t="shared" ca="1" si="1"/>
        <v>0</v>
      </c>
      <c r="Q126" s="466"/>
      <c r="R126" s="467"/>
      <c r="S126" s="297"/>
      <c r="T126" s="297"/>
      <c r="U126" s="297"/>
      <c r="V126" s="297"/>
      <c r="W126" s="467"/>
    </row>
    <row r="127" spans="1:23" ht="14" customHeight="1" x14ac:dyDescent="0.25">
      <c r="A127" s="332"/>
      <c r="B127" s="461"/>
      <c r="C127" s="686"/>
      <c r="H127" s="686"/>
      <c r="I127" s="686"/>
      <c r="J127" s="686"/>
      <c r="K127" s="686"/>
      <c r="L127" s="730" t="s">
        <v>64</v>
      </c>
      <c r="M127" s="281" t="s">
        <v>20</v>
      </c>
      <c r="N127" s="702" t="s">
        <v>169</v>
      </c>
      <c r="O127" s="703">
        <f ca="1">IF(VLOOKUP($N127,Data!$C:$H,1,TRUE)=$N127,VLOOKUP($N127,Data!$C:$H,6,TRUE),NA())</f>
        <v>0</v>
      </c>
      <c r="P127" s="703">
        <f t="shared" ca="1" si="1"/>
        <v>0</v>
      </c>
      <c r="Q127" s="466"/>
      <c r="R127" s="467"/>
      <c r="S127" s="297"/>
      <c r="T127" s="297"/>
      <c r="U127" s="297"/>
      <c r="V127" s="297"/>
      <c r="W127" s="467"/>
    </row>
    <row r="128" spans="1:23" ht="14" customHeight="1" x14ac:dyDescent="0.25">
      <c r="A128" s="332"/>
      <c r="B128" s="461"/>
      <c r="C128" s="686"/>
      <c r="H128" s="686"/>
      <c r="I128" s="686"/>
      <c r="J128" s="686"/>
      <c r="K128" s="686"/>
      <c r="L128" s="730" t="s">
        <v>64</v>
      </c>
      <c r="M128" s="281" t="s">
        <v>21</v>
      </c>
      <c r="N128" s="702" t="s">
        <v>170</v>
      </c>
      <c r="O128" s="703">
        <f ca="1">IF(VLOOKUP($N128,Data!$C:$H,1,TRUE)=$N128,VLOOKUP($N128,Data!$C:$H,6,TRUE),NA())</f>
        <v>0</v>
      </c>
      <c r="P128" s="703">
        <f t="shared" ca="1" si="1"/>
        <v>0</v>
      </c>
      <c r="Q128" s="466"/>
      <c r="R128" s="467"/>
      <c r="S128" s="297"/>
      <c r="T128" s="297"/>
      <c r="U128" s="297"/>
      <c r="V128" s="297"/>
      <c r="W128" s="467"/>
    </row>
    <row r="129" spans="1:23" ht="14" customHeight="1" x14ac:dyDescent="0.25">
      <c r="A129" s="332"/>
      <c r="B129" s="461"/>
      <c r="C129" s="686"/>
      <c r="H129" s="686"/>
      <c r="I129" s="686"/>
      <c r="J129" s="686"/>
      <c r="K129" s="686"/>
      <c r="L129" s="730" t="s">
        <v>64</v>
      </c>
      <c r="M129" s="281" t="s">
        <v>22</v>
      </c>
      <c r="N129" s="702" t="s">
        <v>171</v>
      </c>
      <c r="O129" s="703">
        <f ca="1">IF(VLOOKUP($N129,Data!$C:$H,1,TRUE)=$N129,VLOOKUP($N129,Data!$C:$H,6,TRUE),NA())</f>
        <v>0</v>
      </c>
      <c r="P129" s="703">
        <f t="shared" ca="1" si="1"/>
        <v>0</v>
      </c>
      <c r="Q129" s="466"/>
      <c r="R129" s="467"/>
      <c r="S129" s="297"/>
      <c r="T129" s="297"/>
      <c r="U129" s="297"/>
      <c r="V129" s="297"/>
      <c r="W129" s="467"/>
    </row>
    <row r="130" spans="1:23" ht="14" customHeight="1" x14ac:dyDescent="0.25">
      <c r="A130" s="332"/>
      <c r="B130" s="461"/>
      <c r="C130" s="686"/>
      <c r="H130" s="686"/>
      <c r="I130" s="686"/>
      <c r="J130" s="686"/>
      <c r="K130" s="686"/>
      <c r="L130" s="730" t="s">
        <v>64</v>
      </c>
      <c r="M130" s="281" t="s">
        <v>23</v>
      </c>
      <c r="N130" s="702" t="s">
        <v>172</v>
      </c>
      <c r="O130" s="703">
        <f ca="1">IF(VLOOKUP($N130,Data!$C:$H,1,TRUE)=$N130,VLOOKUP($N130,Data!$C:$H,6,TRUE),NA())</f>
        <v>0</v>
      </c>
      <c r="P130" s="703">
        <f t="shared" ca="1" si="1"/>
        <v>0</v>
      </c>
      <c r="Q130" s="466"/>
      <c r="R130" s="467"/>
      <c r="S130" s="297"/>
      <c r="T130" s="297"/>
      <c r="U130" s="297"/>
      <c r="V130" s="297"/>
      <c r="W130" s="467"/>
    </row>
    <row r="131" spans="1:23" ht="14" customHeight="1" x14ac:dyDescent="0.25">
      <c r="A131" s="332"/>
      <c r="B131" s="461"/>
      <c r="C131" s="686"/>
      <c r="H131" s="686"/>
      <c r="I131" s="686"/>
      <c r="J131" s="686"/>
      <c r="K131" s="686"/>
      <c r="L131" s="730" t="s">
        <v>64</v>
      </c>
      <c r="M131" s="281" t="s">
        <v>24</v>
      </c>
      <c r="N131" s="702" t="s">
        <v>173</v>
      </c>
      <c r="O131" s="703">
        <f ca="1">IF(VLOOKUP($N131,Data!$C:$H,1,TRUE)=$N131,VLOOKUP($N131,Data!$C:$H,6,TRUE),NA())</f>
        <v>0</v>
      </c>
      <c r="P131" s="703">
        <f t="shared" ca="1" si="1"/>
        <v>0</v>
      </c>
      <c r="Q131" s="466"/>
      <c r="R131" s="467"/>
      <c r="S131" s="297"/>
      <c r="T131" s="297"/>
      <c r="U131" s="297"/>
      <c r="V131" s="297"/>
      <c r="W131" s="467"/>
    </row>
    <row r="132" spans="1:23" ht="14" customHeight="1" x14ac:dyDescent="0.25">
      <c r="A132" s="332"/>
      <c r="B132" s="461"/>
      <c r="C132" s="686"/>
      <c r="H132" s="686"/>
      <c r="I132" s="686"/>
      <c r="J132" s="686"/>
      <c r="K132" s="686"/>
      <c r="L132" s="730" t="s">
        <v>64</v>
      </c>
      <c r="M132" s="281" t="s">
        <v>112</v>
      </c>
      <c r="N132" s="702" t="s">
        <v>174</v>
      </c>
      <c r="O132" s="703">
        <f ca="1">IF(VLOOKUP($N132,Data!$C:$H,1,TRUE)=$N132,VLOOKUP($N132,Data!$C:$H,6,TRUE),NA())</f>
        <v>0</v>
      </c>
      <c r="P132" s="703">
        <f t="shared" ca="1" si="1"/>
        <v>0</v>
      </c>
      <c r="Q132" s="466"/>
      <c r="R132" s="467"/>
      <c r="S132" s="297"/>
      <c r="T132" s="297"/>
      <c r="U132" s="297"/>
      <c r="V132" s="297"/>
      <c r="W132" s="467"/>
    </row>
    <row r="133" spans="1:23" ht="14" customHeight="1" x14ac:dyDescent="0.25">
      <c r="A133" s="332"/>
      <c r="B133" s="461"/>
      <c r="C133" s="686"/>
      <c r="H133" s="686"/>
      <c r="I133" s="686"/>
      <c r="J133" s="686"/>
      <c r="K133" s="686"/>
      <c r="L133" s="730" t="s">
        <v>64</v>
      </c>
      <c r="M133" s="281" t="s">
        <v>176</v>
      </c>
      <c r="N133" s="702" t="s">
        <v>175</v>
      </c>
      <c r="O133" s="703">
        <f ca="1">IF(VLOOKUP($N133,Data!$C:$H,1,TRUE)=$N133,VLOOKUP($N133,Data!$C:$H,6,TRUE),NA())</f>
        <v>0</v>
      </c>
      <c r="P133" s="703">
        <f t="shared" ca="1" si="1"/>
        <v>0</v>
      </c>
      <c r="Q133" s="466"/>
      <c r="R133" s="467"/>
      <c r="S133" s="297"/>
      <c r="T133" s="297"/>
      <c r="U133" s="297"/>
      <c r="V133" s="297"/>
      <c r="W133" s="467"/>
    </row>
    <row r="134" spans="1:23" ht="14" customHeight="1" x14ac:dyDescent="0.25">
      <c r="A134" s="332"/>
      <c r="B134" s="461"/>
      <c r="C134" s="686"/>
      <c r="H134" s="686"/>
      <c r="I134" s="686"/>
      <c r="J134" s="686"/>
      <c r="K134" s="686"/>
      <c r="L134" s="730" t="s">
        <v>64</v>
      </c>
      <c r="M134" s="281" t="s">
        <v>178</v>
      </c>
      <c r="N134" s="702" t="s">
        <v>177</v>
      </c>
      <c r="O134" s="703">
        <f ca="1">IF(VLOOKUP($N134,Data!$C:$H,1,TRUE)=$N134,VLOOKUP($N134,Data!$C:$H,6,TRUE),NA())</f>
        <v>0</v>
      </c>
      <c r="P134" s="703">
        <f t="shared" ca="1" si="1"/>
        <v>0</v>
      </c>
      <c r="Q134" s="466"/>
      <c r="R134" s="467"/>
      <c r="S134" s="297"/>
      <c r="T134" s="297"/>
      <c r="U134" s="297"/>
      <c r="V134" s="297"/>
      <c r="W134" s="467"/>
    </row>
    <row r="135" spans="1:23" ht="14" customHeight="1" x14ac:dyDescent="0.25">
      <c r="A135" s="332"/>
      <c r="B135" s="461"/>
      <c r="C135" s="686"/>
      <c r="H135" s="686"/>
      <c r="I135" s="686"/>
      <c r="J135" s="686"/>
      <c r="K135" s="686"/>
      <c r="L135" s="730" t="s">
        <v>64</v>
      </c>
      <c r="M135" s="281" t="s">
        <v>25</v>
      </c>
      <c r="N135" s="702" t="s">
        <v>179</v>
      </c>
      <c r="O135" s="703">
        <f ca="1">IF(VLOOKUP($N135,Data!$C:$H,1,TRUE)=$N135,VLOOKUP($N135,Data!$C:$H,6,TRUE),NA())</f>
        <v>0</v>
      </c>
      <c r="P135" s="703">
        <f t="shared" ca="1" si="1"/>
        <v>0</v>
      </c>
      <c r="Q135" s="466"/>
      <c r="R135" s="467"/>
      <c r="S135" s="297"/>
      <c r="T135" s="297"/>
      <c r="U135" s="297"/>
      <c r="V135" s="297"/>
      <c r="W135" s="467"/>
    </row>
    <row r="136" spans="1:23" ht="14" customHeight="1" x14ac:dyDescent="0.25">
      <c r="A136" s="332"/>
      <c r="B136" s="461"/>
      <c r="C136" s="686"/>
      <c r="H136" s="686"/>
      <c r="I136" s="686"/>
      <c r="J136" s="686"/>
      <c r="K136" s="686"/>
      <c r="L136" s="730" t="s">
        <v>64</v>
      </c>
      <c r="M136" s="281" t="s">
        <v>26</v>
      </c>
      <c r="N136" s="702" t="s">
        <v>180</v>
      </c>
      <c r="O136" s="703">
        <f ca="1">IF(VLOOKUP($N136,Data!$C:$H,1,TRUE)=$N136,VLOOKUP($N136,Data!$C:$H,6,TRUE),NA())</f>
        <v>0</v>
      </c>
      <c r="P136" s="703">
        <f t="shared" ca="1" si="1"/>
        <v>0</v>
      </c>
      <c r="Q136" s="466"/>
      <c r="R136" s="467"/>
      <c r="S136" s="297"/>
      <c r="T136" s="297"/>
      <c r="U136" s="297"/>
      <c r="V136" s="297"/>
      <c r="W136" s="467"/>
    </row>
    <row r="137" spans="1:23" ht="14" customHeight="1" x14ac:dyDescent="0.25">
      <c r="A137" s="332"/>
      <c r="B137" s="461"/>
      <c r="C137" s="686"/>
      <c r="H137" s="686"/>
      <c r="I137" s="686"/>
      <c r="J137" s="686"/>
      <c r="K137" s="686"/>
      <c r="L137" s="730" t="s">
        <v>64</v>
      </c>
      <c r="M137" s="281" t="s">
        <v>27</v>
      </c>
      <c r="N137" s="702" t="s">
        <v>181</v>
      </c>
      <c r="O137" s="703">
        <f ca="1">IF(VLOOKUP($N137,Data!$C:$H,1,TRUE)=$N137,VLOOKUP($N137,Data!$C:$H,6,TRUE),NA())</f>
        <v>0</v>
      </c>
      <c r="P137" s="703">
        <f t="shared" ca="1" si="1"/>
        <v>0</v>
      </c>
      <c r="Q137" s="466"/>
      <c r="R137" s="467"/>
      <c r="S137" s="297"/>
      <c r="T137" s="297"/>
      <c r="U137" s="297"/>
      <c r="V137" s="297"/>
      <c r="W137" s="467"/>
    </row>
    <row r="138" spans="1:23" ht="14" customHeight="1" x14ac:dyDescent="0.25">
      <c r="A138" s="332"/>
      <c r="B138" s="461"/>
      <c r="C138" s="686"/>
      <c r="H138" s="686"/>
      <c r="I138" s="686"/>
      <c r="J138" s="686"/>
      <c r="K138" s="686"/>
      <c r="L138" s="730" t="s">
        <v>64</v>
      </c>
      <c r="M138" s="281" t="s">
        <v>28</v>
      </c>
      <c r="N138" s="702" t="s">
        <v>182</v>
      </c>
      <c r="O138" s="703">
        <f ca="1">IF(VLOOKUP($N138,Data!$C:$H,1,TRUE)=$N138,VLOOKUP($N138,Data!$C:$H,6,TRUE),NA())</f>
        <v>0</v>
      </c>
      <c r="P138" s="703">
        <f t="shared" ref="P138:P201" ca="1" si="2">VLOOKUP($M138, INDIRECT("'"&amp;$L138&amp;"'!"&amp;"$D:$J"), 7,FALSE)</f>
        <v>0</v>
      </c>
      <c r="Q138" s="466"/>
      <c r="R138" s="467"/>
      <c r="S138" s="297"/>
      <c r="T138" s="297"/>
      <c r="U138" s="297"/>
      <c r="V138" s="297"/>
      <c r="W138" s="467"/>
    </row>
    <row r="139" spans="1:23" ht="14" customHeight="1" x14ac:dyDescent="0.25">
      <c r="A139" s="332"/>
      <c r="B139" s="461"/>
      <c r="C139" s="686"/>
      <c r="H139" s="686"/>
      <c r="I139" s="686"/>
      <c r="J139" s="686"/>
      <c r="K139" s="686"/>
      <c r="L139" s="730" t="s">
        <v>64</v>
      </c>
      <c r="M139" s="281" t="s">
        <v>29</v>
      </c>
      <c r="N139" s="702" t="s">
        <v>183</v>
      </c>
      <c r="O139" s="703">
        <f ca="1">IF(VLOOKUP($N139,Data!$C:$H,1,TRUE)=$N139,VLOOKUP($N139,Data!$C:$H,6,TRUE),NA())</f>
        <v>0</v>
      </c>
      <c r="P139" s="703">
        <f t="shared" ca="1" si="2"/>
        <v>0</v>
      </c>
      <c r="Q139" s="466"/>
      <c r="R139" s="467"/>
      <c r="S139" s="297"/>
      <c r="T139" s="297"/>
      <c r="U139" s="297"/>
      <c r="V139" s="297"/>
      <c r="W139" s="467"/>
    </row>
    <row r="140" spans="1:23" ht="14" customHeight="1" x14ac:dyDescent="0.25">
      <c r="A140" s="332"/>
      <c r="B140" s="461"/>
      <c r="C140" s="686"/>
      <c r="H140" s="686"/>
      <c r="I140" s="686"/>
      <c r="J140" s="686"/>
      <c r="K140" s="686"/>
      <c r="L140" s="730" t="s">
        <v>64</v>
      </c>
      <c r="M140" s="281" t="s">
        <v>30</v>
      </c>
      <c r="N140" s="702" t="s">
        <v>184</v>
      </c>
      <c r="O140" s="703">
        <f ca="1">IF(VLOOKUP($N140,Data!$C:$H,1,TRUE)=$N140,VLOOKUP($N140,Data!$C:$H,6,TRUE),NA())</f>
        <v>0</v>
      </c>
      <c r="P140" s="703">
        <f t="shared" ca="1" si="2"/>
        <v>0</v>
      </c>
      <c r="Q140" s="466"/>
      <c r="R140" s="467"/>
      <c r="S140" s="297"/>
      <c r="T140" s="297"/>
      <c r="U140" s="297"/>
      <c r="V140" s="297"/>
      <c r="W140" s="467"/>
    </row>
    <row r="141" spans="1:23" ht="14" customHeight="1" x14ac:dyDescent="0.25">
      <c r="A141" s="332"/>
      <c r="B141" s="461"/>
      <c r="C141" s="686"/>
      <c r="H141" s="686"/>
      <c r="I141" s="686"/>
      <c r="J141" s="686"/>
      <c r="K141" s="686"/>
      <c r="L141" s="730" t="s">
        <v>64</v>
      </c>
      <c r="M141" s="281" t="s">
        <v>31</v>
      </c>
      <c r="N141" s="702" t="s">
        <v>185</v>
      </c>
      <c r="O141" s="703">
        <f ca="1">IF(VLOOKUP($N141,Data!$C:$H,1,TRUE)=$N141,VLOOKUP($N141,Data!$C:$H,6,TRUE),NA())</f>
        <v>0</v>
      </c>
      <c r="P141" s="703">
        <f t="shared" ca="1" si="2"/>
        <v>0</v>
      </c>
      <c r="Q141" s="466"/>
      <c r="R141" s="467"/>
      <c r="S141" s="297"/>
      <c r="T141" s="297"/>
      <c r="U141" s="297"/>
      <c r="V141" s="297"/>
      <c r="W141" s="467"/>
    </row>
    <row r="142" spans="1:23" ht="14" customHeight="1" x14ac:dyDescent="0.25">
      <c r="A142" s="332"/>
      <c r="B142" s="461"/>
      <c r="C142" s="686"/>
      <c r="H142" s="686"/>
      <c r="I142" s="686"/>
      <c r="J142" s="686"/>
      <c r="K142" s="686"/>
      <c r="L142" s="730" t="s">
        <v>69</v>
      </c>
      <c r="M142" s="281" t="s">
        <v>7</v>
      </c>
      <c r="N142" s="702" t="s">
        <v>186</v>
      </c>
      <c r="O142" s="703">
        <f ca="1">IF(VLOOKUP($N142,Data!$C:$H,1,TRUE)=$N142,VLOOKUP($N142,Data!$C:$H,6,TRUE),NA())</f>
        <v>0</v>
      </c>
      <c r="P142" s="703">
        <f t="shared" ca="1" si="2"/>
        <v>0</v>
      </c>
      <c r="Q142" s="466"/>
      <c r="R142" s="467"/>
      <c r="S142" s="297"/>
      <c r="T142" s="297"/>
      <c r="U142" s="297"/>
      <c r="V142" s="297"/>
      <c r="W142" s="467"/>
    </row>
    <row r="143" spans="1:23" ht="14" customHeight="1" x14ac:dyDescent="0.25">
      <c r="A143" s="332"/>
      <c r="B143" s="461"/>
      <c r="C143" s="686"/>
      <c r="H143" s="686"/>
      <c r="I143" s="686"/>
      <c r="J143" s="686"/>
      <c r="K143" s="686"/>
      <c r="L143" s="730" t="s">
        <v>69</v>
      </c>
      <c r="M143" s="281" t="s">
        <v>9</v>
      </c>
      <c r="N143" s="702" t="s">
        <v>187</v>
      </c>
      <c r="O143" s="703">
        <f ca="1">IF(VLOOKUP($N143,Data!$C:$H,1,TRUE)=$N143,VLOOKUP($N143,Data!$C:$H,6,TRUE),NA())</f>
        <v>0</v>
      </c>
      <c r="P143" s="703">
        <f t="shared" ca="1" si="2"/>
        <v>0</v>
      </c>
      <c r="Q143" s="466"/>
      <c r="R143" s="467"/>
      <c r="S143" s="297"/>
      <c r="T143" s="297"/>
      <c r="U143" s="297"/>
      <c r="V143" s="297"/>
      <c r="W143" s="467"/>
    </row>
    <row r="144" spans="1:23" ht="14" customHeight="1" x14ac:dyDescent="0.25">
      <c r="A144" s="332"/>
      <c r="B144" s="461"/>
      <c r="C144" s="686"/>
      <c r="H144" s="686"/>
      <c r="I144" s="686"/>
      <c r="J144" s="686"/>
      <c r="K144" s="686"/>
      <c r="L144" s="730" t="s">
        <v>69</v>
      </c>
      <c r="M144" s="281" t="s">
        <v>10</v>
      </c>
      <c r="N144" s="702" t="s">
        <v>188</v>
      </c>
      <c r="O144" s="703">
        <f ca="1">IF(VLOOKUP($N144,Data!$C:$H,1,TRUE)=$N144,VLOOKUP($N144,Data!$C:$H,6,TRUE),NA())</f>
        <v>0</v>
      </c>
      <c r="P144" s="703">
        <f t="shared" ca="1" si="2"/>
        <v>0</v>
      </c>
      <c r="Q144" s="466"/>
      <c r="R144" s="467"/>
      <c r="S144" s="297"/>
      <c r="T144" s="297"/>
      <c r="U144" s="297"/>
      <c r="V144" s="297"/>
      <c r="W144" s="467"/>
    </row>
    <row r="145" spans="1:23" ht="14" customHeight="1" x14ac:dyDescent="0.25">
      <c r="A145" s="332"/>
      <c r="B145" s="461"/>
      <c r="C145" s="686"/>
      <c r="H145" s="686"/>
      <c r="I145" s="686"/>
      <c r="J145" s="686"/>
      <c r="K145" s="686"/>
      <c r="L145" s="730" t="s">
        <v>69</v>
      </c>
      <c r="M145" s="281" t="s">
        <v>11</v>
      </c>
      <c r="N145" s="702" t="s">
        <v>189</v>
      </c>
      <c r="O145" s="703">
        <f ca="1">IF(VLOOKUP($N145,Data!$C:$H,1,TRUE)=$N145,VLOOKUP($N145,Data!$C:$H,6,TRUE),NA())</f>
        <v>0</v>
      </c>
      <c r="P145" s="703">
        <f t="shared" ca="1" si="2"/>
        <v>0</v>
      </c>
      <c r="Q145" s="466"/>
      <c r="R145" s="467"/>
      <c r="S145" s="297"/>
      <c r="T145" s="297"/>
      <c r="U145" s="297"/>
      <c r="V145" s="297"/>
      <c r="W145" s="467"/>
    </row>
    <row r="146" spans="1:23" ht="14" customHeight="1" x14ac:dyDescent="0.25">
      <c r="A146" s="332"/>
      <c r="B146" s="461"/>
      <c r="C146" s="686"/>
      <c r="H146" s="686"/>
      <c r="I146" s="686"/>
      <c r="J146" s="686"/>
      <c r="K146" s="686"/>
      <c r="L146" s="730" t="s">
        <v>69</v>
      </c>
      <c r="M146" s="281" t="s">
        <v>12</v>
      </c>
      <c r="N146" s="702" t="s">
        <v>190</v>
      </c>
      <c r="O146" s="703">
        <f ca="1">IF(VLOOKUP($N146,Data!$C:$H,1,TRUE)=$N146,VLOOKUP($N146,Data!$C:$H,6,TRUE),NA())</f>
        <v>0</v>
      </c>
      <c r="P146" s="703">
        <f t="shared" ca="1" si="2"/>
        <v>0</v>
      </c>
      <c r="Q146" s="466"/>
      <c r="R146" s="467"/>
      <c r="S146" s="297"/>
      <c r="T146" s="297"/>
      <c r="U146" s="297"/>
      <c r="V146" s="297"/>
      <c r="W146" s="467"/>
    </row>
    <row r="147" spans="1:23" ht="14" customHeight="1" x14ac:dyDescent="0.25">
      <c r="A147" s="332"/>
      <c r="B147" s="461"/>
      <c r="C147" s="686"/>
      <c r="H147" s="686"/>
      <c r="I147" s="686"/>
      <c r="J147" s="686"/>
      <c r="K147" s="686"/>
      <c r="L147" s="730" t="s">
        <v>69</v>
      </c>
      <c r="M147" s="281" t="s">
        <v>13</v>
      </c>
      <c r="N147" s="702" t="s">
        <v>191</v>
      </c>
      <c r="O147" s="703">
        <f ca="1">IF(VLOOKUP($N147,Data!$C:$H,1,TRUE)=$N147,VLOOKUP($N147,Data!$C:$H,6,TRUE),NA())</f>
        <v>0</v>
      </c>
      <c r="P147" s="703">
        <f t="shared" ca="1" si="2"/>
        <v>0</v>
      </c>
      <c r="Q147" s="466"/>
      <c r="R147" s="467"/>
      <c r="S147" s="297"/>
      <c r="T147" s="297"/>
      <c r="U147" s="297"/>
      <c r="V147" s="297"/>
      <c r="W147" s="467"/>
    </row>
    <row r="148" spans="1:23" ht="14" customHeight="1" x14ac:dyDescent="0.25">
      <c r="A148" s="332"/>
      <c r="B148" s="461"/>
      <c r="C148" s="686"/>
      <c r="H148" s="686"/>
      <c r="I148" s="686"/>
      <c r="J148" s="686"/>
      <c r="K148" s="686"/>
      <c r="L148" s="730" t="s">
        <v>69</v>
      </c>
      <c r="M148" s="281" t="s">
        <v>14</v>
      </c>
      <c r="N148" s="702" t="s">
        <v>192</v>
      </c>
      <c r="O148" s="703">
        <f ca="1">IF(VLOOKUP($N148,Data!$C:$H,1,TRUE)=$N148,VLOOKUP($N148,Data!$C:$H,6,TRUE),NA())</f>
        <v>0</v>
      </c>
      <c r="P148" s="703">
        <f t="shared" ca="1" si="2"/>
        <v>0</v>
      </c>
      <c r="Q148" s="466"/>
      <c r="R148" s="467"/>
      <c r="S148" s="297"/>
      <c r="T148" s="297"/>
      <c r="U148" s="297"/>
      <c r="V148" s="297"/>
      <c r="W148" s="467"/>
    </row>
    <row r="149" spans="1:23" ht="14" customHeight="1" x14ac:dyDescent="0.25">
      <c r="A149" s="332"/>
      <c r="B149" s="461"/>
      <c r="C149" s="686"/>
      <c r="H149" s="686"/>
      <c r="I149" s="686"/>
      <c r="J149" s="686"/>
      <c r="K149" s="686"/>
      <c r="L149" s="730" t="s">
        <v>69</v>
      </c>
      <c r="M149" s="281" t="s">
        <v>15</v>
      </c>
      <c r="N149" s="702" t="s">
        <v>193</v>
      </c>
      <c r="O149" s="703">
        <f ca="1">IF(VLOOKUP($N149,Data!$C:$H,1,TRUE)=$N149,VLOOKUP($N149,Data!$C:$H,6,TRUE),NA())</f>
        <v>0</v>
      </c>
      <c r="P149" s="703">
        <f t="shared" ca="1" si="2"/>
        <v>0</v>
      </c>
      <c r="Q149" s="466"/>
      <c r="R149" s="467"/>
      <c r="S149" s="297"/>
      <c r="T149" s="297"/>
      <c r="U149" s="297"/>
      <c r="V149" s="297"/>
      <c r="W149" s="467"/>
    </row>
    <row r="150" spans="1:23" ht="14" customHeight="1" x14ac:dyDescent="0.25">
      <c r="A150" s="332"/>
      <c r="B150" s="461"/>
      <c r="C150" s="686"/>
      <c r="H150" s="686"/>
      <c r="I150" s="686"/>
      <c r="J150" s="686"/>
      <c r="K150" s="686"/>
      <c r="L150" s="730" t="s">
        <v>69</v>
      </c>
      <c r="M150" s="281" t="s">
        <v>16</v>
      </c>
      <c r="N150" s="702" t="s">
        <v>194</v>
      </c>
      <c r="O150" s="703">
        <f ca="1">IF(VLOOKUP($N150,Data!$C:$H,1,TRUE)=$N150,VLOOKUP($N150,Data!$C:$H,6,TRUE),NA())</f>
        <v>0</v>
      </c>
      <c r="P150" s="703">
        <f t="shared" ca="1" si="2"/>
        <v>0</v>
      </c>
      <c r="Q150" s="466"/>
      <c r="R150" s="467"/>
      <c r="S150" s="297"/>
      <c r="T150" s="297"/>
      <c r="U150" s="297"/>
      <c r="V150" s="297"/>
      <c r="W150" s="467"/>
    </row>
    <row r="151" spans="1:23" ht="14" customHeight="1" x14ac:dyDescent="0.25">
      <c r="A151" s="332"/>
      <c r="B151" s="461"/>
      <c r="C151" s="686"/>
      <c r="H151" s="686"/>
      <c r="I151" s="686"/>
      <c r="J151" s="686"/>
      <c r="K151" s="686"/>
      <c r="L151" s="730" t="s">
        <v>69</v>
      </c>
      <c r="M151" s="281" t="s">
        <v>18</v>
      </c>
      <c r="N151" s="702" t="s">
        <v>195</v>
      </c>
      <c r="O151" s="703">
        <f ca="1">IF(VLOOKUP($N151,Data!$C:$H,1,TRUE)=$N151,VLOOKUP($N151,Data!$C:$H,6,TRUE),NA())</f>
        <v>0</v>
      </c>
      <c r="P151" s="703">
        <f t="shared" ca="1" si="2"/>
        <v>0</v>
      </c>
      <c r="Q151" s="466"/>
      <c r="R151" s="467"/>
      <c r="S151" s="297"/>
      <c r="T151" s="297"/>
      <c r="U151" s="297"/>
      <c r="V151" s="297"/>
      <c r="W151" s="467"/>
    </row>
    <row r="152" spans="1:23" ht="14" customHeight="1" x14ac:dyDescent="0.25">
      <c r="A152" s="332"/>
      <c r="B152" s="461"/>
      <c r="C152" s="686"/>
      <c r="H152" s="686"/>
      <c r="I152" s="686"/>
      <c r="J152" s="686"/>
      <c r="K152" s="686"/>
      <c r="L152" s="730" t="s">
        <v>69</v>
      </c>
      <c r="M152" s="281" t="s">
        <v>197</v>
      </c>
      <c r="N152" s="702" t="s">
        <v>196</v>
      </c>
      <c r="O152" s="703">
        <f ca="1">IF(VLOOKUP($N152,Data!$C:$H,1,TRUE)=$N152,VLOOKUP($N152,Data!$C:$H,6,TRUE),NA())</f>
        <v>0</v>
      </c>
      <c r="P152" s="703">
        <f t="shared" ca="1" si="2"/>
        <v>0</v>
      </c>
      <c r="Q152" s="466"/>
      <c r="R152" s="467"/>
      <c r="S152" s="297"/>
      <c r="T152" s="297"/>
      <c r="U152" s="297"/>
      <c r="V152" s="297"/>
      <c r="W152" s="467"/>
    </row>
    <row r="153" spans="1:23" ht="14" customHeight="1" x14ac:dyDescent="0.25">
      <c r="A153" s="332"/>
      <c r="B153" s="461"/>
      <c r="C153" s="686"/>
      <c r="H153" s="686"/>
      <c r="I153" s="686"/>
      <c r="J153" s="686"/>
      <c r="K153" s="686"/>
      <c r="L153" s="730" t="s">
        <v>69</v>
      </c>
      <c r="M153" s="281" t="s">
        <v>199</v>
      </c>
      <c r="N153" s="702" t="s">
        <v>198</v>
      </c>
      <c r="O153" s="703">
        <f ca="1">IF(VLOOKUP($N153,Data!$C:$H,1,TRUE)=$N153,VLOOKUP($N153,Data!$C:$H,6,TRUE),NA())</f>
        <v>0</v>
      </c>
      <c r="P153" s="703">
        <f t="shared" ca="1" si="2"/>
        <v>0</v>
      </c>
      <c r="Q153" s="466"/>
      <c r="R153" s="467"/>
      <c r="S153" s="297"/>
      <c r="T153" s="297"/>
      <c r="U153" s="297"/>
      <c r="V153" s="297"/>
      <c r="W153" s="467"/>
    </row>
    <row r="154" spans="1:23" ht="14" customHeight="1" x14ac:dyDescent="0.25">
      <c r="A154" s="332"/>
      <c r="B154" s="461"/>
      <c r="C154" s="686"/>
      <c r="H154" s="686"/>
      <c r="I154" s="686"/>
      <c r="J154" s="686"/>
      <c r="K154" s="686"/>
      <c r="L154" s="730" t="s">
        <v>69</v>
      </c>
      <c r="M154" s="281" t="s">
        <v>20</v>
      </c>
      <c r="N154" s="702" t="s">
        <v>200</v>
      </c>
      <c r="O154" s="703">
        <f ca="1">IF(VLOOKUP($N154,Data!$C:$H,1,TRUE)=$N154,VLOOKUP($N154,Data!$C:$H,6,TRUE),NA())</f>
        <v>0</v>
      </c>
      <c r="P154" s="703">
        <f t="shared" ca="1" si="2"/>
        <v>0</v>
      </c>
      <c r="Q154" s="466"/>
      <c r="R154" s="467"/>
      <c r="S154" s="297"/>
      <c r="T154" s="297"/>
      <c r="U154" s="297"/>
      <c r="V154" s="297"/>
      <c r="W154" s="467"/>
    </row>
    <row r="155" spans="1:23" ht="14" customHeight="1" x14ac:dyDescent="0.25">
      <c r="A155" s="332"/>
      <c r="B155" s="461"/>
      <c r="C155" s="686"/>
      <c r="H155" s="686"/>
      <c r="I155" s="686"/>
      <c r="J155" s="686"/>
      <c r="K155" s="686"/>
      <c r="L155" s="730" t="s">
        <v>69</v>
      </c>
      <c r="M155" s="281" t="s">
        <v>21</v>
      </c>
      <c r="N155" s="702" t="s">
        <v>201</v>
      </c>
      <c r="O155" s="703">
        <f ca="1">IF(VLOOKUP($N155,Data!$C:$H,1,TRUE)=$N155,VLOOKUP($N155,Data!$C:$H,6,TRUE),NA())</f>
        <v>0</v>
      </c>
      <c r="P155" s="703">
        <f t="shared" ca="1" si="2"/>
        <v>0</v>
      </c>
      <c r="Q155" s="466"/>
      <c r="R155" s="467"/>
      <c r="S155" s="297"/>
      <c r="T155" s="297"/>
      <c r="U155" s="297"/>
      <c r="V155" s="297"/>
      <c r="W155" s="467"/>
    </row>
    <row r="156" spans="1:23" ht="14" customHeight="1" x14ac:dyDescent="0.25">
      <c r="A156" s="332"/>
      <c r="B156" s="461"/>
      <c r="C156" s="686"/>
      <c r="H156" s="686"/>
      <c r="I156" s="686"/>
      <c r="J156" s="686"/>
      <c r="K156" s="686"/>
      <c r="L156" s="730" t="s">
        <v>69</v>
      </c>
      <c r="M156" s="281" t="s">
        <v>22</v>
      </c>
      <c r="N156" s="702" t="s">
        <v>202</v>
      </c>
      <c r="O156" s="703">
        <f ca="1">IF(VLOOKUP($N156,Data!$C:$H,1,TRUE)=$N156,VLOOKUP($N156,Data!$C:$H,6,TRUE),NA())</f>
        <v>0</v>
      </c>
      <c r="P156" s="703">
        <f t="shared" ca="1" si="2"/>
        <v>0</v>
      </c>
      <c r="Q156" s="466"/>
      <c r="R156" s="467"/>
      <c r="S156" s="297"/>
      <c r="T156" s="297"/>
      <c r="U156" s="297"/>
      <c r="V156" s="297"/>
      <c r="W156" s="467"/>
    </row>
    <row r="157" spans="1:23" ht="14" customHeight="1" x14ac:dyDescent="0.25">
      <c r="A157" s="332"/>
      <c r="B157" s="461"/>
      <c r="C157" s="686"/>
      <c r="H157" s="686"/>
      <c r="I157" s="686"/>
      <c r="J157" s="686"/>
      <c r="K157" s="686"/>
      <c r="L157" s="730" t="s">
        <v>69</v>
      </c>
      <c r="M157" s="281" t="s">
        <v>23</v>
      </c>
      <c r="N157" s="702" t="s">
        <v>203</v>
      </c>
      <c r="O157" s="703">
        <f ca="1">IF(VLOOKUP($N157,Data!$C:$H,1,TRUE)=$N157,VLOOKUP($N157,Data!$C:$H,6,TRUE),NA())</f>
        <v>0</v>
      </c>
      <c r="P157" s="703">
        <f t="shared" ca="1" si="2"/>
        <v>0</v>
      </c>
      <c r="Q157" s="466"/>
      <c r="R157" s="467"/>
      <c r="S157" s="297"/>
      <c r="T157" s="297"/>
      <c r="U157" s="297"/>
      <c r="V157" s="297"/>
      <c r="W157" s="467"/>
    </row>
    <row r="158" spans="1:23" ht="14" customHeight="1" x14ac:dyDescent="0.25">
      <c r="A158" s="332"/>
      <c r="B158" s="461"/>
      <c r="C158" s="686"/>
      <c r="H158" s="686"/>
      <c r="I158" s="686"/>
      <c r="J158" s="686"/>
      <c r="K158" s="686"/>
      <c r="L158" s="730" t="s">
        <v>69</v>
      </c>
      <c r="M158" s="281" t="s">
        <v>24</v>
      </c>
      <c r="N158" s="702" t="s">
        <v>204</v>
      </c>
      <c r="O158" s="703">
        <f ca="1">IF(VLOOKUP($N158,Data!$C:$H,1,TRUE)=$N158,VLOOKUP($N158,Data!$C:$H,6,TRUE),NA())</f>
        <v>0</v>
      </c>
      <c r="P158" s="703">
        <f t="shared" ca="1" si="2"/>
        <v>0</v>
      </c>
      <c r="Q158" s="466"/>
      <c r="R158" s="467"/>
      <c r="S158" s="297"/>
      <c r="T158" s="297"/>
      <c r="U158" s="297"/>
      <c r="V158" s="297"/>
      <c r="W158" s="467"/>
    </row>
    <row r="159" spans="1:23" ht="14" customHeight="1" x14ac:dyDescent="0.25">
      <c r="A159" s="332"/>
      <c r="B159" s="461"/>
      <c r="C159" s="686"/>
      <c r="H159" s="686"/>
      <c r="I159" s="686"/>
      <c r="J159" s="686"/>
      <c r="K159" s="686"/>
      <c r="L159" s="730" t="s">
        <v>69</v>
      </c>
      <c r="M159" s="281" t="s">
        <v>112</v>
      </c>
      <c r="N159" s="702" t="s">
        <v>205</v>
      </c>
      <c r="O159" s="703">
        <f ca="1">IF(VLOOKUP($N159,Data!$C:$H,1,TRUE)=$N159,VLOOKUP($N159,Data!$C:$H,6,TRUE),NA())</f>
        <v>0</v>
      </c>
      <c r="P159" s="703">
        <f t="shared" ca="1" si="2"/>
        <v>0</v>
      </c>
      <c r="Q159" s="466"/>
      <c r="R159" s="467"/>
      <c r="S159" s="297"/>
      <c r="T159" s="297"/>
      <c r="U159" s="297"/>
      <c r="V159" s="297"/>
      <c r="W159" s="467"/>
    </row>
    <row r="160" spans="1:23" ht="14" customHeight="1" x14ac:dyDescent="0.25">
      <c r="A160" s="332"/>
      <c r="B160" s="461"/>
      <c r="C160" s="686"/>
      <c r="H160" s="686"/>
      <c r="I160" s="686"/>
      <c r="J160" s="686"/>
      <c r="K160" s="686"/>
      <c r="L160" s="730" t="s">
        <v>69</v>
      </c>
      <c r="M160" s="281" t="s">
        <v>176</v>
      </c>
      <c r="N160" s="702" t="s">
        <v>206</v>
      </c>
      <c r="O160" s="703">
        <f ca="1">IF(VLOOKUP($N160,Data!$C:$H,1,TRUE)=$N160,VLOOKUP($N160,Data!$C:$H,6,TRUE),NA())</f>
        <v>0</v>
      </c>
      <c r="P160" s="703">
        <f t="shared" ca="1" si="2"/>
        <v>0</v>
      </c>
      <c r="Q160" s="466"/>
      <c r="R160" s="467"/>
      <c r="S160" s="297"/>
      <c r="T160" s="297"/>
      <c r="U160" s="297"/>
      <c r="V160" s="297"/>
      <c r="W160" s="467"/>
    </row>
    <row r="161" spans="1:23" ht="14" customHeight="1" x14ac:dyDescent="0.25">
      <c r="A161" s="332"/>
      <c r="B161" s="461"/>
      <c r="C161" s="686"/>
      <c r="H161" s="686"/>
      <c r="I161" s="686"/>
      <c r="J161" s="686"/>
      <c r="K161" s="686"/>
      <c r="L161" s="730" t="s">
        <v>69</v>
      </c>
      <c r="M161" s="281" t="s">
        <v>178</v>
      </c>
      <c r="N161" s="702" t="s">
        <v>207</v>
      </c>
      <c r="O161" s="703">
        <f ca="1">IF(VLOOKUP($N161,Data!$C:$H,1,TRUE)=$N161,VLOOKUP($N161,Data!$C:$H,6,TRUE),NA())</f>
        <v>0</v>
      </c>
      <c r="P161" s="703">
        <f t="shared" ca="1" si="2"/>
        <v>0</v>
      </c>
      <c r="Q161" s="466"/>
      <c r="R161" s="467"/>
      <c r="S161" s="297"/>
      <c r="T161" s="297"/>
      <c r="U161" s="297"/>
      <c r="V161" s="297"/>
      <c r="W161" s="467"/>
    </row>
    <row r="162" spans="1:23" ht="14" customHeight="1" x14ac:dyDescent="0.25">
      <c r="A162" s="332"/>
      <c r="B162" s="461"/>
      <c r="C162" s="686"/>
      <c r="H162" s="686"/>
      <c r="I162" s="686"/>
      <c r="J162" s="686"/>
      <c r="K162" s="686"/>
      <c r="L162" s="730" t="s">
        <v>69</v>
      </c>
      <c r="M162" s="281" t="s">
        <v>209</v>
      </c>
      <c r="N162" s="702" t="s">
        <v>208</v>
      </c>
      <c r="O162" s="703">
        <f ca="1">IF(VLOOKUP($N162,Data!$C:$H,1,TRUE)=$N162,VLOOKUP($N162,Data!$C:$H,6,TRUE),NA())</f>
        <v>0</v>
      </c>
      <c r="P162" s="703">
        <f t="shared" ca="1" si="2"/>
        <v>0</v>
      </c>
      <c r="Q162" s="466"/>
      <c r="R162" s="467"/>
      <c r="S162" s="297"/>
      <c r="T162" s="297"/>
      <c r="U162" s="297"/>
      <c r="V162" s="297"/>
      <c r="W162" s="467"/>
    </row>
    <row r="163" spans="1:23" ht="14" customHeight="1" x14ac:dyDescent="0.25">
      <c r="A163" s="332"/>
      <c r="B163" s="461"/>
      <c r="C163" s="686"/>
      <c r="H163" s="686"/>
      <c r="I163" s="686"/>
      <c r="J163" s="686"/>
      <c r="K163" s="686"/>
      <c r="L163" s="730" t="s">
        <v>69</v>
      </c>
      <c r="M163" s="281" t="s">
        <v>211</v>
      </c>
      <c r="N163" s="702" t="s">
        <v>210</v>
      </c>
      <c r="O163" s="703">
        <f ca="1">IF(VLOOKUP($N163,Data!$C:$H,1,TRUE)=$N163,VLOOKUP($N163,Data!$C:$H,6,TRUE),NA())</f>
        <v>0</v>
      </c>
      <c r="P163" s="703">
        <f t="shared" ca="1" si="2"/>
        <v>0</v>
      </c>
      <c r="Q163" s="466"/>
      <c r="R163" s="467"/>
      <c r="S163" s="297"/>
      <c r="T163" s="297"/>
      <c r="U163" s="297"/>
      <c r="V163" s="297"/>
      <c r="W163" s="467"/>
    </row>
    <row r="164" spans="1:23" ht="14" customHeight="1" x14ac:dyDescent="0.25">
      <c r="A164" s="332"/>
      <c r="B164" s="461"/>
      <c r="C164" s="686"/>
      <c r="H164" s="686"/>
      <c r="I164" s="686"/>
      <c r="J164" s="686"/>
      <c r="K164" s="686"/>
      <c r="L164" s="730" t="s">
        <v>69</v>
      </c>
      <c r="M164" s="281" t="s">
        <v>213</v>
      </c>
      <c r="N164" s="702" t="s">
        <v>212</v>
      </c>
      <c r="O164" s="703">
        <f ca="1">IF(VLOOKUP($N164,Data!$C:$H,1,TRUE)=$N164,VLOOKUP($N164,Data!$C:$H,6,TRUE),NA())</f>
        <v>0</v>
      </c>
      <c r="P164" s="703">
        <f t="shared" ca="1" si="2"/>
        <v>0</v>
      </c>
      <c r="Q164" s="466"/>
      <c r="R164" s="467"/>
      <c r="S164" s="297"/>
      <c r="T164" s="297"/>
      <c r="U164" s="297"/>
      <c r="V164" s="297"/>
      <c r="W164" s="467"/>
    </row>
    <row r="165" spans="1:23" ht="14" customHeight="1" x14ac:dyDescent="0.25">
      <c r="A165" s="332"/>
      <c r="B165" s="461"/>
      <c r="C165" s="686"/>
      <c r="H165" s="686"/>
      <c r="I165" s="686"/>
      <c r="J165" s="686"/>
      <c r="K165" s="686"/>
      <c r="L165" s="730" t="s">
        <v>69</v>
      </c>
      <c r="M165" s="281" t="s">
        <v>215</v>
      </c>
      <c r="N165" s="702" t="s">
        <v>214</v>
      </c>
      <c r="O165" s="703">
        <f ca="1">IF(VLOOKUP($N165,Data!$C:$H,1,TRUE)=$N165,VLOOKUP($N165,Data!$C:$H,6,TRUE),NA())</f>
        <v>0</v>
      </c>
      <c r="P165" s="703">
        <f t="shared" ca="1" si="2"/>
        <v>0</v>
      </c>
      <c r="Q165" s="466"/>
      <c r="R165" s="467"/>
      <c r="S165" s="297"/>
      <c r="T165" s="297"/>
      <c r="U165" s="297"/>
      <c r="V165" s="297"/>
      <c r="W165" s="467"/>
    </row>
    <row r="166" spans="1:23" ht="14" customHeight="1" x14ac:dyDescent="0.25">
      <c r="A166" s="332"/>
      <c r="B166" s="461"/>
      <c r="C166" s="686"/>
      <c r="H166" s="686"/>
      <c r="I166" s="686"/>
      <c r="J166" s="686"/>
      <c r="K166" s="686"/>
      <c r="L166" s="730" t="s">
        <v>69</v>
      </c>
      <c r="M166" s="281" t="s">
        <v>217</v>
      </c>
      <c r="N166" s="702" t="s">
        <v>216</v>
      </c>
      <c r="O166" s="703">
        <f ca="1">IF(VLOOKUP($N166,Data!$C:$H,1,TRUE)=$N166,VLOOKUP($N166,Data!$C:$H,6,TRUE),NA())</f>
        <v>0</v>
      </c>
      <c r="P166" s="703">
        <f t="shared" ca="1" si="2"/>
        <v>0</v>
      </c>
      <c r="Q166" s="466"/>
      <c r="R166" s="467"/>
      <c r="S166" s="297"/>
      <c r="T166" s="297"/>
      <c r="U166" s="297"/>
      <c r="V166" s="297"/>
      <c r="W166" s="467"/>
    </row>
    <row r="167" spans="1:23" ht="14" customHeight="1" x14ac:dyDescent="0.25">
      <c r="A167" s="332"/>
      <c r="B167" s="461"/>
      <c r="C167" s="686"/>
      <c r="H167" s="686"/>
      <c r="I167" s="686"/>
      <c r="J167" s="686"/>
      <c r="K167" s="686"/>
      <c r="L167" s="730" t="s">
        <v>69</v>
      </c>
      <c r="M167" s="281" t="s">
        <v>25</v>
      </c>
      <c r="N167" s="702" t="s">
        <v>218</v>
      </c>
      <c r="O167" s="703">
        <f ca="1">IF(VLOOKUP($N167,Data!$C:$H,1,TRUE)=$N167,VLOOKUP($N167,Data!$C:$H,6,TRUE),NA())</f>
        <v>0</v>
      </c>
      <c r="P167" s="703">
        <f t="shared" ca="1" si="2"/>
        <v>0</v>
      </c>
      <c r="Q167" s="466"/>
      <c r="R167" s="467"/>
      <c r="S167" s="297"/>
      <c r="T167" s="297"/>
      <c r="U167" s="297"/>
      <c r="V167" s="297"/>
      <c r="W167" s="467"/>
    </row>
    <row r="168" spans="1:23" ht="14" customHeight="1" x14ac:dyDescent="0.25">
      <c r="A168" s="332"/>
      <c r="B168" s="461"/>
      <c r="C168" s="686"/>
      <c r="H168" s="686"/>
      <c r="I168" s="686"/>
      <c r="J168" s="686"/>
      <c r="K168" s="686"/>
      <c r="L168" s="730" t="s">
        <v>69</v>
      </c>
      <c r="M168" s="281" t="s">
        <v>26</v>
      </c>
      <c r="N168" s="702" t="s">
        <v>219</v>
      </c>
      <c r="O168" s="703">
        <f ca="1">IF(VLOOKUP($N168,Data!$C:$H,1,TRUE)=$N168,VLOOKUP($N168,Data!$C:$H,6,TRUE),NA())</f>
        <v>0</v>
      </c>
      <c r="P168" s="703">
        <f t="shared" ca="1" si="2"/>
        <v>0</v>
      </c>
      <c r="Q168" s="466"/>
      <c r="R168" s="467"/>
      <c r="S168" s="297"/>
      <c r="T168" s="297"/>
      <c r="U168" s="297"/>
      <c r="V168" s="297"/>
      <c r="W168" s="467"/>
    </row>
    <row r="169" spans="1:23" ht="14" customHeight="1" x14ac:dyDescent="0.25">
      <c r="A169" s="332"/>
      <c r="B169" s="461"/>
      <c r="C169" s="686"/>
      <c r="H169" s="686"/>
      <c r="I169" s="686"/>
      <c r="J169" s="686"/>
      <c r="K169" s="686"/>
      <c r="L169" s="730" t="s">
        <v>69</v>
      </c>
      <c r="M169" s="281" t="s">
        <v>27</v>
      </c>
      <c r="N169" s="702" t="s">
        <v>220</v>
      </c>
      <c r="O169" s="703">
        <f ca="1">IF(VLOOKUP($N169,Data!$C:$H,1,TRUE)=$N169,VLOOKUP($N169,Data!$C:$H,6,TRUE),NA())</f>
        <v>0</v>
      </c>
      <c r="P169" s="703">
        <f t="shared" ca="1" si="2"/>
        <v>0</v>
      </c>
      <c r="Q169" s="466"/>
      <c r="R169" s="467"/>
      <c r="S169" s="297"/>
      <c r="T169" s="297"/>
      <c r="U169" s="297"/>
      <c r="V169" s="297"/>
      <c r="W169" s="467"/>
    </row>
    <row r="170" spans="1:23" ht="14" customHeight="1" x14ac:dyDescent="0.25">
      <c r="A170" s="332"/>
      <c r="B170" s="461"/>
      <c r="C170" s="686"/>
      <c r="H170" s="686"/>
      <c r="I170" s="686"/>
      <c r="J170" s="686"/>
      <c r="K170" s="686"/>
      <c r="L170" s="730" t="s">
        <v>69</v>
      </c>
      <c r="M170" s="281" t="s">
        <v>28</v>
      </c>
      <c r="N170" s="702" t="s">
        <v>221</v>
      </c>
      <c r="O170" s="703">
        <f ca="1">IF(VLOOKUP($N170,Data!$C:$H,1,TRUE)=$N170,VLOOKUP($N170,Data!$C:$H,6,TRUE),NA())</f>
        <v>0</v>
      </c>
      <c r="P170" s="703">
        <f t="shared" ca="1" si="2"/>
        <v>0</v>
      </c>
      <c r="Q170" s="466"/>
      <c r="R170" s="467"/>
      <c r="S170" s="297"/>
      <c r="T170" s="297"/>
      <c r="U170" s="297"/>
      <c r="V170" s="297"/>
      <c r="W170" s="467"/>
    </row>
    <row r="171" spans="1:23" ht="14" customHeight="1" x14ac:dyDescent="0.25">
      <c r="A171" s="332"/>
      <c r="B171" s="461"/>
      <c r="C171" s="686"/>
      <c r="H171" s="686"/>
      <c r="I171" s="686"/>
      <c r="J171" s="686"/>
      <c r="K171" s="686"/>
      <c r="L171" s="730" t="s">
        <v>69</v>
      </c>
      <c r="M171" s="281" t="s">
        <v>29</v>
      </c>
      <c r="N171" s="702" t="s">
        <v>222</v>
      </c>
      <c r="O171" s="703">
        <f ca="1">IF(VLOOKUP($N171,Data!$C:$H,1,TRUE)=$N171,VLOOKUP($N171,Data!$C:$H,6,TRUE),NA())</f>
        <v>0</v>
      </c>
      <c r="P171" s="703">
        <f t="shared" ca="1" si="2"/>
        <v>0</v>
      </c>
      <c r="Q171" s="466"/>
      <c r="R171" s="467"/>
      <c r="S171" s="297"/>
      <c r="T171" s="297"/>
      <c r="U171" s="297"/>
      <c r="V171" s="297"/>
      <c r="W171" s="467"/>
    </row>
    <row r="172" spans="1:23" ht="14" customHeight="1" x14ac:dyDescent="0.25">
      <c r="A172" s="332"/>
      <c r="B172" s="461"/>
      <c r="C172" s="686"/>
      <c r="H172" s="686"/>
      <c r="I172" s="686"/>
      <c r="J172" s="686"/>
      <c r="K172" s="686"/>
      <c r="L172" s="730" t="s">
        <v>69</v>
      </c>
      <c r="M172" s="281" t="s">
        <v>30</v>
      </c>
      <c r="N172" s="702" t="s">
        <v>223</v>
      </c>
      <c r="O172" s="703">
        <f ca="1">IF(VLOOKUP($N172,Data!$C:$H,1,TRUE)=$N172,VLOOKUP($N172,Data!$C:$H,6,TRUE),NA())</f>
        <v>0</v>
      </c>
      <c r="P172" s="703">
        <f t="shared" ca="1" si="2"/>
        <v>0</v>
      </c>
      <c r="Q172" s="466"/>
      <c r="R172" s="467"/>
      <c r="S172" s="297"/>
      <c r="T172" s="297"/>
      <c r="U172" s="297"/>
      <c r="V172" s="297"/>
      <c r="W172" s="467"/>
    </row>
    <row r="173" spans="1:23" ht="14" customHeight="1" x14ac:dyDescent="0.25">
      <c r="A173" s="332"/>
      <c r="B173" s="461"/>
      <c r="C173" s="686"/>
      <c r="H173" s="686"/>
      <c r="I173" s="686"/>
      <c r="J173" s="686"/>
      <c r="K173" s="686"/>
      <c r="L173" s="730" t="s">
        <v>69</v>
      </c>
      <c r="M173" s="281" t="s">
        <v>31</v>
      </c>
      <c r="N173" s="702" t="s">
        <v>224</v>
      </c>
      <c r="O173" s="703">
        <f ca="1">IF(VLOOKUP($N173,Data!$C:$H,1,TRUE)=$N173,VLOOKUP($N173,Data!$C:$H,6,TRUE),NA())</f>
        <v>0</v>
      </c>
      <c r="P173" s="703">
        <f t="shared" ca="1" si="2"/>
        <v>0</v>
      </c>
      <c r="Q173" s="466"/>
      <c r="R173" s="467"/>
      <c r="S173" s="297"/>
      <c r="T173" s="297"/>
      <c r="U173" s="297"/>
      <c r="V173" s="297"/>
      <c r="W173" s="467"/>
    </row>
    <row r="174" spans="1:23" ht="14" customHeight="1" x14ac:dyDescent="0.25">
      <c r="A174" s="332"/>
      <c r="B174" s="461"/>
      <c r="C174" s="686"/>
      <c r="H174" s="686"/>
      <c r="I174" s="686"/>
      <c r="J174" s="686"/>
      <c r="K174" s="686"/>
      <c r="L174" s="730" t="s">
        <v>72</v>
      </c>
      <c r="M174" s="281" t="s">
        <v>7</v>
      </c>
      <c r="N174" s="702" t="s">
        <v>225</v>
      </c>
      <c r="O174" s="703">
        <f ca="1">IF(VLOOKUP($N174,Data!$C:$H,1,TRUE)=$N174,VLOOKUP($N174,Data!$C:$H,6,TRUE),NA())</f>
        <v>0</v>
      </c>
      <c r="P174" s="703">
        <f t="shared" ca="1" si="2"/>
        <v>0</v>
      </c>
      <c r="Q174" s="466"/>
      <c r="R174" s="467"/>
      <c r="S174" s="297"/>
      <c r="T174" s="297"/>
      <c r="U174" s="297"/>
      <c r="V174" s="297"/>
      <c r="W174" s="467"/>
    </row>
    <row r="175" spans="1:23" ht="14" customHeight="1" x14ac:dyDescent="0.25">
      <c r="A175" s="332"/>
      <c r="B175" s="461"/>
      <c r="C175" s="686"/>
      <c r="H175" s="686"/>
      <c r="I175" s="686"/>
      <c r="J175" s="686"/>
      <c r="K175" s="686"/>
      <c r="L175" s="730" t="s">
        <v>72</v>
      </c>
      <c r="M175" s="281" t="s">
        <v>9</v>
      </c>
      <c r="N175" s="702" t="s">
        <v>226</v>
      </c>
      <c r="O175" s="703">
        <f ca="1">IF(VLOOKUP($N175,Data!$C:$H,1,TRUE)=$N175,VLOOKUP($N175,Data!$C:$H,6,TRUE),NA())</f>
        <v>0</v>
      </c>
      <c r="P175" s="703">
        <f t="shared" ca="1" si="2"/>
        <v>0</v>
      </c>
      <c r="Q175" s="466"/>
      <c r="R175" s="467"/>
      <c r="S175" s="297"/>
      <c r="T175" s="297"/>
      <c r="U175" s="297"/>
      <c r="V175" s="297"/>
      <c r="W175" s="467"/>
    </row>
    <row r="176" spans="1:23" ht="14" customHeight="1" x14ac:dyDescent="0.25">
      <c r="A176" s="332"/>
      <c r="B176" s="461"/>
      <c r="C176" s="686"/>
      <c r="H176" s="686"/>
      <c r="I176" s="686"/>
      <c r="J176" s="686"/>
      <c r="K176" s="686"/>
      <c r="L176" s="730" t="s">
        <v>72</v>
      </c>
      <c r="M176" s="281" t="s">
        <v>10</v>
      </c>
      <c r="N176" s="702" t="s">
        <v>227</v>
      </c>
      <c r="O176" s="703">
        <f ca="1">IF(VLOOKUP($N176,Data!$C:$H,1,TRUE)=$N176,VLOOKUP($N176,Data!$C:$H,6,TRUE),NA())</f>
        <v>0</v>
      </c>
      <c r="P176" s="703">
        <f t="shared" ca="1" si="2"/>
        <v>0</v>
      </c>
      <c r="Q176" s="466"/>
      <c r="R176" s="467"/>
      <c r="S176" s="297"/>
      <c r="T176" s="297"/>
      <c r="U176" s="297"/>
      <c r="V176" s="297"/>
      <c r="W176" s="467"/>
    </row>
    <row r="177" spans="1:23" ht="14" customHeight="1" x14ac:dyDescent="0.25">
      <c r="A177" s="332"/>
      <c r="B177" s="461"/>
      <c r="C177" s="686"/>
      <c r="H177" s="686"/>
      <c r="I177" s="686"/>
      <c r="J177" s="686"/>
      <c r="K177" s="686"/>
      <c r="L177" s="730" t="s">
        <v>72</v>
      </c>
      <c r="M177" s="281" t="s">
        <v>11</v>
      </c>
      <c r="N177" s="702" t="s">
        <v>228</v>
      </c>
      <c r="O177" s="703">
        <f ca="1">IF(VLOOKUP($N177,Data!$C:$H,1,TRUE)=$N177,VLOOKUP($N177,Data!$C:$H,6,TRUE),NA())</f>
        <v>0</v>
      </c>
      <c r="P177" s="703">
        <f t="shared" ca="1" si="2"/>
        <v>0</v>
      </c>
      <c r="Q177" s="466"/>
      <c r="R177" s="467"/>
      <c r="S177" s="297"/>
      <c r="T177" s="297"/>
      <c r="U177" s="297"/>
      <c r="V177" s="297"/>
      <c r="W177" s="467"/>
    </row>
    <row r="178" spans="1:23" ht="14" customHeight="1" x14ac:dyDescent="0.25">
      <c r="A178" s="332"/>
      <c r="B178" s="461"/>
      <c r="C178" s="686"/>
      <c r="H178" s="686"/>
      <c r="I178" s="686"/>
      <c r="J178" s="686"/>
      <c r="K178" s="686"/>
      <c r="L178" s="730" t="s">
        <v>72</v>
      </c>
      <c r="M178" s="281" t="s">
        <v>20</v>
      </c>
      <c r="N178" s="702" t="s">
        <v>229</v>
      </c>
      <c r="O178" s="703">
        <f ca="1">IF(VLOOKUP($N178,Data!$C:$H,1,TRUE)=$N178,VLOOKUP($N178,Data!$C:$H,6,TRUE),NA())</f>
        <v>0</v>
      </c>
      <c r="P178" s="703">
        <f t="shared" ca="1" si="2"/>
        <v>0</v>
      </c>
      <c r="Q178" s="466"/>
      <c r="R178" s="467"/>
      <c r="S178" s="297"/>
      <c r="T178" s="297"/>
      <c r="U178" s="297"/>
      <c r="V178" s="297"/>
      <c r="W178" s="467"/>
    </row>
    <row r="179" spans="1:23" ht="14" customHeight="1" x14ac:dyDescent="0.25">
      <c r="A179" s="332"/>
      <c r="B179" s="461"/>
      <c r="C179" s="686"/>
      <c r="H179" s="686"/>
      <c r="I179" s="686"/>
      <c r="J179" s="686"/>
      <c r="K179" s="686"/>
      <c r="L179" s="730" t="s">
        <v>72</v>
      </c>
      <c r="M179" s="281" t="s">
        <v>21</v>
      </c>
      <c r="N179" s="702" t="s">
        <v>230</v>
      </c>
      <c r="O179" s="703">
        <f ca="1">IF(VLOOKUP($N179,Data!$C:$H,1,TRUE)=$N179,VLOOKUP($N179,Data!$C:$H,6,TRUE),NA())</f>
        <v>0</v>
      </c>
      <c r="P179" s="703">
        <f t="shared" ca="1" si="2"/>
        <v>0</v>
      </c>
      <c r="Q179" s="466"/>
      <c r="R179" s="467"/>
      <c r="S179" s="297"/>
      <c r="T179" s="297"/>
      <c r="U179" s="297"/>
      <c r="V179" s="297"/>
      <c r="W179" s="467"/>
    </row>
    <row r="180" spans="1:23" ht="14" customHeight="1" x14ac:dyDescent="0.25">
      <c r="A180" s="332"/>
      <c r="B180" s="461"/>
      <c r="C180" s="686"/>
      <c r="H180" s="686"/>
      <c r="I180" s="686"/>
      <c r="J180" s="686"/>
      <c r="K180" s="686"/>
      <c r="L180" s="730" t="s">
        <v>72</v>
      </c>
      <c r="M180" s="281" t="s">
        <v>22</v>
      </c>
      <c r="N180" s="702" t="s">
        <v>231</v>
      </c>
      <c r="O180" s="703">
        <f ca="1">IF(VLOOKUP($N180,Data!$C:$H,1,TRUE)=$N180,VLOOKUP($N180,Data!$C:$H,6,TRUE),NA())</f>
        <v>0</v>
      </c>
      <c r="P180" s="703">
        <f t="shared" ca="1" si="2"/>
        <v>0</v>
      </c>
      <c r="Q180" s="466"/>
      <c r="R180" s="467"/>
      <c r="S180" s="297"/>
      <c r="T180" s="297"/>
      <c r="U180" s="297"/>
      <c r="V180" s="297"/>
      <c r="W180" s="467"/>
    </row>
    <row r="181" spans="1:23" ht="14" customHeight="1" x14ac:dyDescent="0.25">
      <c r="A181" s="332"/>
      <c r="B181" s="461"/>
      <c r="C181" s="686"/>
      <c r="H181" s="686"/>
      <c r="I181" s="686"/>
      <c r="J181" s="686"/>
      <c r="K181" s="686"/>
      <c r="L181" s="730" t="s">
        <v>72</v>
      </c>
      <c r="M181" s="281" t="s">
        <v>23</v>
      </c>
      <c r="N181" s="702" t="s">
        <v>232</v>
      </c>
      <c r="O181" s="703">
        <f ca="1">IF(VLOOKUP($N181,Data!$C:$H,1,TRUE)=$N181,VLOOKUP($N181,Data!$C:$H,6,TRUE),NA())</f>
        <v>0</v>
      </c>
      <c r="P181" s="703">
        <f t="shared" ca="1" si="2"/>
        <v>0</v>
      </c>
      <c r="Q181" s="466"/>
      <c r="R181" s="467"/>
      <c r="S181" s="297"/>
      <c r="T181" s="297"/>
      <c r="U181" s="297"/>
      <c r="V181" s="297"/>
      <c r="W181" s="467"/>
    </row>
    <row r="182" spans="1:23" ht="14" customHeight="1" x14ac:dyDescent="0.25">
      <c r="A182" s="332"/>
      <c r="B182" s="461"/>
      <c r="C182" s="686"/>
      <c r="H182" s="686"/>
      <c r="I182" s="686"/>
      <c r="J182" s="686"/>
      <c r="K182" s="686"/>
      <c r="L182" s="730" t="s">
        <v>72</v>
      </c>
      <c r="M182" s="281" t="s">
        <v>24</v>
      </c>
      <c r="N182" s="702" t="s">
        <v>233</v>
      </c>
      <c r="O182" s="703">
        <f ca="1">IF(VLOOKUP($N182,Data!$C:$H,1,TRUE)=$N182,VLOOKUP($N182,Data!$C:$H,6,TRUE),NA())</f>
        <v>0</v>
      </c>
      <c r="P182" s="703">
        <f t="shared" ca="1" si="2"/>
        <v>0</v>
      </c>
      <c r="Q182" s="466"/>
      <c r="R182" s="467"/>
      <c r="S182" s="297"/>
      <c r="T182" s="297"/>
      <c r="U182" s="297"/>
      <c r="V182" s="297"/>
      <c r="W182" s="467"/>
    </row>
    <row r="183" spans="1:23" ht="14" customHeight="1" x14ac:dyDescent="0.25">
      <c r="A183" s="332"/>
      <c r="B183" s="461"/>
      <c r="C183" s="686"/>
      <c r="H183" s="686"/>
      <c r="I183" s="686"/>
      <c r="J183" s="686"/>
      <c r="K183" s="686"/>
      <c r="L183" s="730" t="s">
        <v>72</v>
      </c>
      <c r="M183" s="281" t="s">
        <v>112</v>
      </c>
      <c r="N183" s="702" t="s">
        <v>234</v>
      </c>
      <c r="O183" s="703">
        <f ca="1">IF(VLOOKUP($N183,Data!$C:$H,1,TRUE)=$N183,VLOOKUP($N183,Data!$C:$H,6,TRUE),NA())</f>
        <v>0</v>
      </c>
      <c r="P183" s="703">
        <f t="shared" ca="1" si="2"/>
        <v>0</v>
      </c>
      <c r="Q183" s="466"/>
      <c r="R183" s="467"/>
      <c r="S183" s="297"/>
      <c r="T183" s="297"/>
      <c r="U183" s="297"/>
      <c r="V183" s="297"/>
      <c r="W183" s="467"/>
    </row>
    <row r="184" spans="1:23" ht="14" customHeight="1" x14ac:dyDescent="0.25">
      <c r="A184" s="332"/>
      <c r="B184" s="461"/>
      <c r="C184" s="686"/>
      <c r="H184" s="686"/>
      <c r="I184" s="686"/>
      <c r="J184" s="686"/>
      <c r="K184" s="686"/>
      <c r="L184" s="730" t="s">
        <v>72</v>
      </c>
      <c r="M184" s="281" t="s">
        <v>176</v>
      </c>
      <c r="N184" s="702" t="s">
        <v>235</v>
      </c>
      <c r="O184" s="703">
        <f ca="1">IF(VLOOKUP($N184,Data!$C:$H,1,TRUE)=$N184,VLOOKUP($N184,Data!$C:$H,6,TRUE),NA())</f>
        <v>0</v>
      </c>
      <c r="P184" s="703">
        <f t="shared" ca="1" si="2"/>
        <v>0</v>
      </c>
      <c r="Q184" s="466"/>
      <c r="R184" s="467"/>
      <c r="S184" s="297"/>
      <c r="T184" s="297"/>
      <c r="U184" s="297"/>
      <c r="V184" s="297"/>
      <c r="W184" s="467"/>
    </row>
    <row r="185" spans="1:23" ht="14" customHeight="1" x14ac:dyDescent="0.25">
      <c r="A185" s="332"/>
      <c r="B185" s="461"/>
      <c r="C185" s="686"/>
      <c r="H185" s="686"/>
      <c r="I185" s="686"/>
      <c r="J185" s="686"/>
      <c r="K185" s="686"/>
      <c r="L185" s="730" t="s">
        <v>72</v>
      </c>
      <c r="M185" s="281" t="s">
        <v>178</v>
      </c>
      <c r="N185" s="702" t="s">
        <v>236</v>
      </c>
      <c r="O185" s="703">
        <f ca="1">IF(VLOOKUP($N185,Data!$C:$H,1,TRUE)=$N185,VLOOKUP($N185,Data!$C:$H,6,TRUE),NA())</f>
        <v>0</v>
      </c>
      <c r="P185" s="703">
        <f t="shared" ca="1" si="2"/>
        <v>0</v>
      </c>
      <c r="Q185" s="466"/>
      <c r="R185" s="467"/>
      <c r="S185" s="297"/>
      <c r="T185" s="297"/>
      <c r="U185" s="297"/>
      <c r="V185" s="297"/>
      <c r="W185" s="467"/>
    </row>
    <row r="186" spans="1:23" ht="14" customHeight="1" x14ac:dyDescent="0.25">
      <c r="A186" s="332"/>
      <c r="B186" s="461"/>
      <c r="C186" s="686"/>
      <c r="H186" s="686"/>
      <c r="I186" s="686"/>
      <c r="J186" s="686"/>
      <c r="K186" s="686"/>
      <c r="L186" s="730" t="s">
        <v>72</v>
      </c>
      <c r="M186" s="281" t="s">
        <v>209</v>
      </c>
      <c r="N186" s="702" t="s">
        <v>237</v>
      </c>
      <c r="O186" s="703">
        <f ca="1">IF(VLOOKUP($N186,Data!$C:$H,1,TRUE)=$N186,VLOOKUP($N186,Data!$C:$H,6,TRUE),NA())</f>
        <v>0</v>
      </c>
      <c r="P186" s="703">
        <f t="shared" ca="1" si="2"/>
        <v>0</v>
      </c>
      <c r="Q186" s="466"/>
      <c r="R186" s="467"/>
      <c r="S186" s="297"/>
      <c r="T186" s="297"/>
      <c r="U186" s="297"/>
      <c r="V186" s="297"/>
      <c r="W186" s="467"/>
    </row>
    <row r="187" spans="1:23" ht="14" customHeight="1" x14ac:dyDescent="0.25">
      <c r="A187" s="332"/>
      <c r="B187" s="461"/>
      <c r="C187" s="686"/>
      <c r="H187" s="686"/>
      <c r="I187" s="686"/>
      <c r="J187" s="686"/>
      <c r="K187" s="686"/>
      <c r="L187" s="730" t="s">
        <v>72</v>
      </c>
      <c r="M187" s="281" t="s">
        <v>211</v>
      </c>
      <c r="N187" s="702" t="s">
        <v>238</v>
      </c>
      <c r="O187" s="703">
        <f ca="1">IF(VLOOKUP($N187,Data!$C:$H,1,TRUE)=$N187,VLOOKUP($N187,Data!$C:$H,6,TRUE),NA())</f>
        <v>0</v>
      </c>
      <c r="P187" s="703">
        <f t="shared" ca="1" si="2"/>
        <v>0</v>
      </c>
      <c r="Q187" s="466"/>
      <c r="R187" s="467"/>
      <c r="S187" s="297"/>
      <c r="T187" s="297"/>
      <c r="U187" s="297"/>
      <c r="V187" s="297"/>
      <c r="W187" s="467"/>
    </row>
    <row r="188" spans="1:23" ht="14" customHeight="1" x14ac:dyDescent="0.25">
      <c r="A188" s="332"/>
      <c r="B188" s="461"/>
      <c r="C188" s="686"/>
      <c r="H188" s="686"/>
      <c r="I188" s="686"/>
      <c r="J188" s="686"/>
      <c r="K188" s="686"/>
      <c r="L188" s="730" t="s">
        <v>72</v>
      </c>
      <c r="M188" s="281" t="s">
        <v>25</v>
      </c>
      <c r="N188" s="702" t="s">
        <v>239</v>
      </c>
      <c r="O188" s="703">
        <f ca="1">IF(VLOOKUP($N188,Data!$C:$H,1,TRUE)=$N188,VLOOKUP($N188,Data!$C:$H,6,TRUE),NA())</f>
        <v>0</v>
      </c>
      <c r="P188" s="703">
        <f t="shared" ca="1" si="2"/>
        <v>0</v>
      </c>
      <c r="Q188" s="466"/>
      <c r="R188" s="467"/>
      <c r="S188" s="297"/>
      <c r="T188" s="297"/>
      <c r="U188" s="297"/>
      <c r="V188" s="297"/>
      <c r="W188" s="467"/>
    </row>
    <row r="189" spans="1:23" ht="14" customHeight="1" x14ac:dyDescent="0.25">
      <c r="A189" s="332"/>
      <c r="B189" s="461"/>
      <c r="C189" s="686"/>
      <c r="H189" s="686"/>
      <c r="I189" s="686"/>
      <c r="J189" s="686"/>
      <c r="K189" s="686"/>
      <c r="L189" s="730" t="s">
        <v>72</v>
      </c>
      <c r="M189" s="281" t="s">
        <v>26</v>
      </c>
      <c r="N189" s="702" t="s">
        <v>240</v>
      </c>
      <c r="O189" s="703">
        <f ca="1">IF(VLOOKUP($N189,Data!$C:$H,1,TRUE)=$N189,VLOOKUP($N189,Data!$C:$H,6,TRUE),NA())</f>
        <v>0</v>
      </c>
      <c r="P189" s="703">
        <f t="shared" ca="1" si="2"/>
        <v>0</v>
      </c>
      <c r="Q189" s="466"/>
      <c r="R189" s="467"/>
      <c r="S189" s="297"/>
      <c r="T189" s="297"/>
      <c r="U189" s="297"/>
      <c r="V189" s="297"/>
      <c r="W189" s="467"/>
    </row>
    <row r="190" spans="1:23" ht="14" customHeight="1" x14ac:dyDescent="0.25">
      <c r="A190" s="332"/>
      <c r="B190" s="461"/>
      <c r="C190" s="686"/>
      <c r="H190" s="686"/>
      <c r="I190" s="686"/>
      <c r="J190" s="686"/>
      <c r="K190" s="686"/>
      <c r="L190" s="730" t="s">
        <v>72</v>
      </c>
      <c r="M190" s="281" t="s">
        <v>27</v>
      </c>
      <c r="N190" s="702" t="s">
        <v>241</v>
      </c>
      <c r="O190" s="703">
        <f ca="1">IF(VLOOKUP($N190,Data!$C:$H,1,TRUE)=$N190,VLOOKUP($N190,Data!$C:$H,6,TRUE),NA())</f>
        <v>0</v>
      </c>
      <c r="P190" s="703">
        <f t="shared" ca="1" si="2"/>
        <v>0</v>
      </c>
      <c r="Q190" s="466"/>
      <c r="R190" s="467"/>
      <c r="S190" s="297"/>
      <c r="T190" s="297"/>
      <c r="U190" s="297"/>
      <c r="V190" s="297"/>
      <c r="W190" s="467"/>
    </row>
    <row r="191" spans="1:23" ht="14" customHeight="1" x14ac:dyDescent="0.25">
      <c r="A191" s="332"/>
      <c r="B191" s="461"/>
      <c r="C191" s="686"/>
      <c r="H191" s="686"/>
      <c r="I191" s="686"/>
      <c r="J191" s="686"/>
      <c r="K191" s="686"/>
      <c r="L191" s="730" t="s">
        <v>72</v>
      </c>
      <c r="M191" s="281" t="s">
        <v>28</v>
      </c>
      <c r="N191" s="702" t="s">
        <v>242</v>
      </c>
      <c r="O191" s="703">
        <f ca="1">IF(VLOOKUP($N191,Data!$C:$H,1,TRUE)=$N191,VLOOKUP($N191,Data!$C:$H,6,TRUE),NA())</f>
        <v>0</v>
      </c>
      <c r="P191" s="703">
        <f t="shared" ca="1" si="2"/>
        <v>0</v>
      </c>
      <c r="Q191" s="466"/>
      <c r="R191" s="467"/>
      <c r="S191" s="297"/>
      <c r="T191" s="297"/>
      <c r="U191" s="297"/>
      <c r="V191" s="297"/>
      <c r="W191" s="467"/>
    </row>
    <row r="192" spans="1:23" ht="14" customHeight="1" x14ac:dyDescent="0.25">
      <c r="A192" s="332"/>
      <c r="B192" s="461"/>
      <c r="C192" s="686"/>
      <c r="H192" s="686"/>
      <c r="I192" s="686"/>
      <c r="J192" s="686"/>
      <c r="K192" s="686"/>
      <c r="L192" s="730" t="s">
        <v>72</v>
      </c>
      <c r="M192" s="281" t="s">
        <v>29</v>
      </c>
      <c r="N192" s="702" t="s">
        <v>243</v>
      </c>
      <c r="O192" s="703">
        <f ca="1">IF(VLOOKUP($N192,Data!$C:$H,1,TRUE)=$N192,VLOOKUP($N192,Data!$C:$H,6,TRUE),NA())</f>
        <v>0</v>
      </c>
      <c r="P192" s="703">
        <f t="shared" ca="1" si="2"/>
        <v>0</v>
      </c>
      <c r="Q192" s="466"/>
      <c r="R192" s="467"/>
      <c r="S192" s="297"/>
      <c r="T192" s="297"/>
      <c r="U192" s="297"/>
      <c r="V192" s="297"/>
      <c r="W192" s="467"/>
    </row>
    <row r="193" spans="1:23" ht="14" customHeight="1" x14ac:dyDescent="0.25">
      <c r="A193" s="332"/>
      <c r="B193" s="461"/>
      <c r="C193" s="686"/>
      <c r="H193" s="686"/>
      <c r="I193" s="686"/>
      <c r="J193" s="686"/>
      <c r="K193" s="686"/>
      <c r="L193" s="730" t="s">
        <v>72</v>
      </c>
      <c r="M193" s="281" t="s">
        <v>30</v>
      </c>
      <c r="N193" s="702" t="s">
        <v>244</v>
      </c>
      <c r="O193" s="703">
        <f ca="1">IF(VLOOKUP($N193,Data!$C:$H,1,TRUE)=$N193,VLOOKUP($N193,Data!$C:$H,6,TRUE),NA())</f>
        <v>0</v>
      </c>
      <c r="P193" s="703">
        <f t="shared" ca="1" si="2"/>
        <v>0</v>
      </c>
      <c r="Q193" s="466"/>
      <c r="R193" s="467"/>
      <c r="S193" s="297"/>
      <c r="T193" s="297"/>
      <c r="U193" s="297"/>
      <c r="V193" s="297"/>
      <c r="W193" s="467"/>
    </row>
    <row r="194" spans="1:23" ht="14" customHeight="1" x14ac:dyDescent="0.25">
      <c r="A194" s="332"/>
      <c r="B194" s="461"/>
      <c r="C194" s="686"/>
      <c r="H194" s="686"/>
      <c r="I194" s="686"/>
      <c r="J194" s="686"/>
      <c r="K194" s="686"/>
      <c r="L194" s="730" t="s">
        <v>72</v>
      </c>
      <c r="M194" s="281" t="s">
        <v>31</v>
      </c>
      <c r="N194" s="702" t="s">
        <v>245</v>
      </c>
      <c r="O194" s="703">
        <f ca="1">IF(VLOOKUP($N194,Data!$C:$H,1,TRUE)=$N194,VLOOKUP($N194,Data!$C:$H,6,TRUE),NA())</f>
        <v>0</v>
      </c>
      <c r="P194" s="703">
        <f t="shared" ca="1" si="2"/>
        <v>0</v>
      </c>
      <c r="Q194" s="466"/>
      <c r="R194" s="467"/>
      <c r="S194" s="297"/>
      <c r="T194" s="297"/>
      <c r="U194" s="297"/>
      <c r="V194" s="297"/>
      <c r="W194" s="467"/>
    </row>
    <row r="195" spans="1:23" ht="14" customHeight="1" x14ac:dyDescent="0.25">
      <c r="A195" s="332"/>
      <c r="B195" s="461"/>
      <c r="C195" s="686"/>
      <c r="H195" s="686"/>
      <c r="I195" s="686"/>
      <c r="J195" s="686"/>
      <c r="K195" s="686"/>
      <c r="L195" s="730" t="s">
        <v>72</v>
      </c>
      <c r="M195" s="281" t="s">
        <v>247</v>
      </c>
      <c r="N195" s="702" t="s">
        <v>246</v>
      </c>
      <c r="O195" s="703">
        <f ca="1">IF(VLOOKUP($N195,Data!$C:$H,1,TRUE)=$N195,VLOOKUP($N195,Data!$C:$H,6,TRUE),NA())</f>
        <v>0</v>
      </c>
      <c r="P195" s="703">
        <f t="shared" ca="1" si="2"/>
        <v>0</v>
      </c>
      <c r="Q195" s="466"/>
      <c r="R195" s="467"/>
      <c r="S195" s="297"/>
      <c r="T195" s="297"/>
      <c r="U195" s="297"/>
      <c r="V195" s="297"/>
      <c r="W195" s="467"/>
    </row>
    <row r="196" spans="1:23" ht="14" customHeight="1" x14ac:dyDescent="0.25">
      <c r="A196" s="332"/>
      <c r="B196" s="461"/>
      <c r="C196" s="686"/>
      <c r="H196" s="686"/>
      <c r="I196" s="686"/>
      <c r="J196" s="686"/>
      <c r="K196" s="686"/>
      <c r="L196" s="730" t="s">
        <v>72</v>
      </c>
      <c r="M196" s="281" t="s">
        <v>126</v>
      </c>
      <c r="N196" s="702" t="s">
        <v>248</v>
      </c>
      <c r="O196" s="703">
        <f ca="1">IF(VLOOKUP($N196,Data!$C:$H,1,TRUE)=$N196,VLOOKUP($N196,Data!$C:$H,6,TRUE),NA())</f>
        <v>0</v>
      </c>
      <c r="P196" s="703">
        <f t="shared" ca="1" si="2"/>
        <v>0</v>
      </c>
      <c r="Q196" s="466"/>
      <c r="R196" s="467"/>
      <c r="S196" s="297"/>
      <c r="T196" s="297"/>
      <c r="U196" s="297"/>
      <c r="V196" s="297"/>
      <c r="W196" s="467"/>
    </row>
    <row r="197" spans="1:23" ht="14" customHeight="1" x14ac:dyDescent="0.25">
      <c r="A197" s="332"/>
      <c r="B197" s="461"/>
      <c r="C197" s="686"/>
      <c r="H197" s="686"/>
      <c r="I197" s="686"/>
      <c r="J197" s="686"/>
      <c r="K197" s="686"/>
      <c r="L197" s="730" t="s">
        <v>72</v>
      </c>
      <c r="M197" s="281" t="s">
        <v>129</v>
      </c>
      <c r="N197" s="702" t="s">
        <v>249</v>
      </c>
      <c r="O197" s="703">
        <f ca="1">IF(VLOOKUP($N197,Data!$C:$H,1,TRUE)=$N197,VLOOKUP($N197,Data!$C:$H,6,TRUE),NA())</f>
        <v>0</v>
      </c>
      <c r="P197" s="703">
        <f t="shared" ca="1" si="2"/>
        <v>0</v>
      </c>
      <c r="Q197" s="466"/>
      <c r="R197" s="467"/>
      <c r="S197" s="297"/>
      <c r="T197" s="297"/>
      <c r="U197" s="297"/>
      <c r="V197" s="297"/>
      <c r="W197" s="467"/>
    </row>
    <row r="198" spans="1:23" ht="14" customHeight="1" x14ac:dyDescent="0.25">
      <c r="A198" s="332"/>
      <c r="B198" s="461"/>
      <c r="C198" s="686"/>
      <c r="H198" s="686"/>
      <c r="I198" s="686"/>
      <c r="J198" s="686"/>
      <c r="K198" s="686"/>
      <c r="L198" s="730" t="s">
        <v>72</v>
      </c>
      <c r="M198" s="281" t="s">
        <v>132</v>
      </c>
      <c r="N198" s="702" t="s">
        <v>250</v>
      </c>
      <c r="O198" s="703">
        <f ca="1">IF(VLOOKUP($N198,Data!$C:$H,1,TRUE)=$N198,VLOOKUP($N198,Data!$C:$H,6,TRUE),NA())</f>
        <v>0</v>
      </c>
      <c r="P198" s="703">
        <f t="shared" ca="1" si="2"/>
        <v>0</v>
      </c>
      <c r="Q198" s="466"/>
      <c r="R198" s="467"/>
      <c r="S198" s="297"/>
      <c r="T198" s="297"/>
      <c r="U198" s="297"/>
      <c r="V198" s="297"/>
      <c r="W198" s="467"/>
    </row>
    <row r="199" spans="1:23" ht="14" customHeight="1" x14ac:dyDescent="0.25">
      <c r="A199" s="332"/>
      <c r="B199" s="461"/>
      <c r="C199" s="686"/>
      <c r="H199" s="686"/>
      <c r="I199" s="686"/>
      <c r="J199" s="686"/>
      <c r="K199" s="686"/>
      <c r="L199" s="730" t="s">
        <v>72</v>
      </c>
      <c r="M199" s="281" t="s">
        <v>135</v>
      </c>
      <c r="N199" s="702" t="s">
        <v>251</v>
      </c>
      <c r="O199" s="703">
        <f ca="1">IF(VLOOKUP($N199,Data!$C:$H,1,TRUE)=$N199,VLOOKUP($N199,Data!$C:$H,6,TRUE),NA())</f>
        <v>0</v>
      </c>
      <c r="P199" s="703">
        <f t="shared" ca="1" si="2"/>
        <v>0</v>
      </c>
      <c r="Q199" s="466"/>
      <c r="R199" s="467"/>
      <c r="S199" s="297"/>
      <c r="T199" s="297"/>
      <c r="U199" s="297"/>
      <c r="V199" s="297"/>
      <c r="W199" s="467"/>
    </row>
    <row r="200" spans="1:23" ht="14" customHeight="1" x14ac:dyDescent="0.25">
      <c r="A200" s="332"/>
      <c r="B200" s="461"/>
      <c r="C200" s="686"/>
      <c r="H200" s="686"/>
      <c r="I200" s="686"/>
      <c r="J200" s="686"/>
      <c r="K200" s="686"/>
      <c r="L200" s="730" t="s">
        <v>72</v>
      </c>
      <c r="M200" s="281" t="s">
        <v>138</v>
      </c>
      <c r="N200" s="702" t="s">
        <v>252</v>
      </c>
      <c r="O200" s="703">
        <f ca="1">IF(VLOOKUP($N200,Data!$C:$H,1,TRUE)=$N200,VLOOKUP($N200,Data!$C:$H,6,TRUE),NA())</f>
        <v>0</v>
      </c>
      <c r="P200" s="703">
        <f t="shared" ca="1" si="2"/>
        <v>0</v>
      </c>
      <c r="Q200" s="466"/>
      <c r="R200" s="467"/>
      <c r="S200" s="297"/>
      <c r="T200" s="297"/>
      <c r="U200" s="297"/>
      <c r="V200" s="297"/>
      <c r="W200" s="467"/>
    </row>
    <row r="201" spans="1:23" ht="14" customHeight="1" x14ac:dyDescent="0.25">
      <c r="A201" s="332"/>
      <c r="B201" s="461"/>
      <c r="C201" s="686"/>
      <c r="H201" s="686"/>
      <c r="I201" s="686"/>
      <c r="J201" s="686"/>
      <c r="K201" s="686"/>
      <c r="L201" s="730" t="s">
        <v>72</v>
      </c>
      <c r="M201" s="281" t="s">
        <v>140</v>
      </c>
      <c r="N201" s="702" t="s">
        <v>253</v>
      </c>
      <c r="O201" s="703">
        <f ca="1">IF(VLOOKUP($N201,Data!$C:$H,1,TRUE)=$N201,VLOOKUP($N201,Data!$C:$H,6,TRUE),NA())</f>
        <v>0</v>
      </c>
      <c r="P201" s="703">
        <f t="shared" ca="1" si="2"/>
        <v>0</v>
      </c>
      <c r="Q201" s="466"/>
      <c r="R201" s="467"/>
      <c r="S201" s="297"/>
      <c r="T201" s="297"/>
      <c r="U201" s="297"/>
      <c r="V201" s="297"/>
      <c r="W201" s="467"/>
    </row>
    <row r="202" spans="1:23" ht="14" customHeight="1" x14ac:dyDescent="0.25">
      <c r="A202" s="332"/>
      <c r="B202" s="461"/>
      <c r="C202" s="686"/>
      <c r="H202" s="686"/>
      <c r="I202" s="686"/>
      <c r="J202" s="686"/>
      <c r="K202" s="686"/>
      <c r="L202" s="730" t="s">
        <v>72</v>
      </c>
      <c r="M202" s="281" t="s">
        <v>255</v>
      </c>
      <c r="N202" s="702" t="s">
        <v>254</v>
      </c>
      <c r="O202" s="703">
        <f ca="1">IF(VLOOKUP($N202,Data!$C:$H,1,TRUE)=$N202,VLOOKUP($N202,Data!$C:$H,6,TRUE),NA())</f>
        <v>0</v>
      </c>
      <c r="P202" s="703">
        <f t="shared" ref="P202:P265" ca="1" si="3">VLOOKUP($M202, INDIRECT("'"&amp;$L202&amp;"'!"&amp;"$D:$J"), 7,FALSE)</f>
        <v>0</v>
      </c>
      <c r="Q202" s="466"/>
      <c r="R202" s="467"/>
      <c r="S202" s="297"/>
      <c r="T202" s="297"/>
      <c r="U202" s="297"/>
      <c r="V202" s="297"/>
      <c r="W202" s="467"/>
    </row>
    <row r="203" spans="1:23" ht="14" customHeight="1" x14ac:dyDescent="0.25">
      <c r="A203" s="332"/>
      <c r="B203" s="461"/>
      <c r="C203" s="686"/>
      <c r="H203" s="686"/>
      <c r="I203" s="686"/>
      <c r="J203" s="686"/>
      <c r="K203" s="686"/>
      <c r="L203" s="729" t="s">
        <v>74</v>
      </c>
      <c r="M203" s="281" t="s">
        <v>7</v>
      </c>
      <c r="N203" s="702" t="s">
        <v>256</v>
      </c>
      <c r="O203" s="703">
        <f ca="1">IF(VLOOKUP($N203,Data!$C:$H,1,TRUE)=$N203,VLOOKUP($N203,Data!$C:$H,6,TRUE),NA())</f>
        <v>0</v>
      </c>
      <c r="P203" s="703">
        <f t="shared" ca="1" si="3"/>
        <v>0</v>
      </c>
      <c r="Q203" s="466"/>
      <c r="R203" s="467"/>
      <c r="S203" s="297"/>
      <c r="T203" s="297"/>
      <c r="U203" s="297"/>
      <c r="V203" s="297"/>
      <c r="W203" s="467"/>
    </row>
    <row r="204" spans="1:23" ht="14" customHeight="1" x14ac:dyDescent="0.25">
      <c r="A204" s="332"/>
      <c r="B204" s="461"/>
      <c r="C204" s="686"/>
      <c r="H204" s="686"/>
      <c r="I204" s="686"/>
      <c r="J204" s="686"/>
      <c r="K204" s="686"/>
      <c r="L204" s="729" t="s">
        <v>74</v>
      </c>
      <c r="M204" s="281" t="s">
        <v>9</v>
      </c>
      <c r="N204" s="702" t="s">
        <v>257</v>
      </c>
      <c r="O204" s="703">
        <f ca="1">IF(VLOOKUP($N204,Data!$C:$H,1,TRUE)=$N204,VLOOKUP($N204,Data!$C:$H,6,TRUE),NA())</f>
        <v>0</v>
      </c>
      <c r="P204" s="703">
        <f t="shared" ca="1" si="3"/>
        <v>0</v>
      </c>
      <c r="Q204" s="466"/>
      <c r="R204" s="467"/>
      <c r="S204" s="297"/>
      <c r="T204" s="297"/>
      <c r="U204" s="297"/>
      <c r="V204" s="297"/>
      <c r="W204" s="467"/>
    </row>
    <row r="205" spans="1:23" ht="14" customHeight="1" x14ac:dyDescent="0.25">
      <c r="A205" s="332"/>
      <c r="B205" s="461"/>
      <c r="C205" s="686"/>
      <c r="H205" s="686"/>
      <c r="I205" s="686"/>
      <c r="J205" s="686"/>
      <c r="K205" s="686"/>
      <c r="L205" s="729" t="s">
        <v>74</v>
      </c>
      <c r="M205" s="281" t="s">
        <v>10</v>
      </c>
      <c r="N205" s="702" t="s">
        <v>258</v>
      </c>
      <c r="O205" s="703">
        <f ca="1">IF(VLOOKUP($N205,Data!$C:$H,1,TRUE)=$N205,VLOOKUP($N205,Data!$C:$H,6,TRUE),NA())</f>
        <v>0</v>
      </c>
      <c r="P205" s="703">
        <f t="shared" ca="1" si="3"/>
        <v>0</v>
      </c>
      <c r="Q205" s="466"/>
      <c r="R205" s="467"/>
      <c r="S205" s="297"/>
      <c r="T205" s="297"/>
      <c r="U205" s="297"/>
      <c r="V205" s="297"/>
      <c r="W205" s="467"/>
    </row>
    <row r="206" spans="1:23" ht="14" customHeight="1" x14ac:dyDescent="0.25">
      <c r="A206" s="332"/>
      <c r="B206" s="461"/>
      <c r="C206" s="686"/>
      <c r="H206" s="686"/>
      <c r="I206" s="686"/>
      <c r="J206" s="686"/>
      <c r="K206" s="686"/>
      <c r="L206" s="729" t="s">
        <v>74</v>
      </c>
      <c r="M206" s="281" t="s">
        <v>11</v>
      </c>
      <c r="N206" s="702" t="s">
        <v>259</v>
      </c>
      <c r="O206" s="703">
        <f ca="1">IF(VLOOKUP($N206,Data!$C:$H,1,TRUE)=$N206,VLOOKUP($N206,Data!$C:$H,6,TRUE),NA())</f>
        <v>0</v>
      </c>
      <c r="P206" s="703">
        <f t="shared" ca="1" si="3"/>
        <v>0</v>
      </c>
      <c r="Q206" s="466"/>
      <c r="R206" s="467"/>
      <c r="S206" s="297"/>
      <c r="T206" s="297"/>
      <c r="U206" s="297"/>
      <c r="V206" s="297"/>
      <c r="W206" s="467"/>
    </row>
    <row r="207" spans="1:23" ht="14" customHeight="1" x14ac:dyDescent="0.25">
      <c r="A207" s="332"/>
      <c r="B207" s="461"/>
      <c r="C207" s="686"/>
      <c r="H207" s="686"/>
      <c r="I207" s="686"/>
      <c r="J207" s="686"/>
      <c r="K207" s="686"/>
      <c r="L207" s="729" t="s">
        <v>74</v>
      </c>
      <c r="M207" s="281" t="s">
        <v>12</v>
      </c>
      <c r="N207" s="702" t="s">
        <v>260</v>
      </c>
      <c r="O207" s="703">
        <f ca="1">IF(VLOOKUP($N207,Data!$C:$H,1,TRUE)=$N207,VLOOKUP($N207,Data!$C:$H,6,TRUE),NA())</f>
        <v>0</v>
      </c>
      <c r="P207" s="703">
        <f t="shared" ca="1" si="3"/>
        <v>0</v>
      </c>
      <c r="Q207" s="466"/>
      <c r="R207" s="467"/>
      <c r="S207" s="297"/>
      <c r="T207" s="297"/>
      <c r="U207" s="297"/>
      <c r="V207" s="297"/>
      <c r="W207" s="467"/>
    </row>
    <row r="208" spans="1:23" ht="14" customHeight="1" x14ac:dyDescent="0.25">
      <c r="A208" s="332"/>
      <c r="B208" s="461"/>
      <c r="C208" s="686"/>
      <c r="H208" s="686"/>
      <c r="I208" s="686"/>
      <c r="J208" s="686"/>
      <c r="K208" s="686"/>
      <c r="L208" s="729" t="s">
        <v>74</v>
      </c>
      <c r="M208" s="281" t="s">
        <v>13</v>
      </c>
      <c r="N208" s="702" t="s">
        <v>261</v>
      </c>
      <c r="O208" s="703">
        <f ca="1">IF(VLOOKUP($N208,Data!$C:$H,1,TRUE)=$N208,VLOOKUP($N208,Data!$C:$H,6,TRUE),NA())</f>
        <v>0</v>
      </c>
      <c r="P208" s="703">
        <f t="shared" ca="1" si="3"/>
        <v>0</v>
      </c>
      <c r="Q208" s="466"/>
      <c r="R208" s="467"/>
      <c r="S208" s="297"/>
      <c r="T208" s="297"/>
      <c r="U208" s="297"/>
      <c r="V208" s="297"/>
      <c r="W208" s="467"/>
    </row>
    <row r="209" spans="1:23" ht="14" customHeight="1" x14ac:dyDescent="0.25">
      <c r="A209" s="332"/>
      <c r="B209" s="461"/>
      <c r="C209" s="686"/>
      <c r="H209" s="686"/>
      <c r="I209" s="686"/>
      <c r="J209" s="686"/>
      <c r="K209" s="686"/>
      <c r="L209" s="729" t="s">
        <v>74</v>
      </c>
      <c r="M209" s="281" t="s">
        <v>20</v>
      </c>
      <c r="N209" s="702" t="s">
        <v>262</v>
      </c>
      <c r="O209" s="703">
        <f ca="1">IF(VLOOKUP($N209,Data!$C:$H,1,TRUE)=$N209,VLOOKUP($N209,Data!$C:$H,6,TRUE),NA())</f>
        <v>0</v>
      </c>
      <c r="P209" s="703">
        <f t="shared" ca="1" si="3"/>
        <v>0</v>
      </c>
      <c r="Q209" s="466"/>
      <c r="R209" s="467"/>
      <c r="S209" s="297"/>
      <c r="T209" s="297"/>
      <c r="U209" s="297"/>
      <c r="V209" s="297"/>
      <c r="W209" s="467"/>
    </row>
    <row r="210" spans="1:23" ht="14" customHeight="1" x14ac:dyDescent="0.25">
      <c r="A210" s="332"/>
      <c r="B210" s="461"/>
      <c r="C210" s="686"/>
      <c r="H210" s="686"/>
      <c r="I210" s="686"/>
      <c r="J210" s="686"/>
      <c r="K210" s="686"/>
      <c r="L210" s="729" t="s">
        <v>74</v>
      </c>
      <c r="M210" s="281" t="s">
        <v>21</v>
      </c>
      <c r="N210" s="702" t="s">
        <v>263</v>
      </c>
      <c r="O210" s="703">
        <f ca="1">IF(VLOOKUP($N210,Data!$C:$H,1,TRUE)=$N210,VLOOKUP($N210,Data!$C:$H,6,TRUE),NA())</f>
        <v>0</v>
      </c>
      <c r="P210" s="703">
        <f t="shared" ca="1" si="3"/>
        <v>0</v>
      </c>
      <c r="Q210" s="466"/>
      <c r="R210" s="467"/>
      <c r="S210" s="297"/>
      <c r="T210" s="297"/>
      <c r="U210" s="297"/>
      <c r="V210" s="297"/>
      <c r="W210" s="467"/>
    </row>
    <row r="211" spans="1:23" ht="14" customHeight="1" x14ac:dyDescent="0.25">
      <c r="A211" s="332"/>
      <c r="B211" s="461"/>
      <c r="C211" s="686"/>
      <c r="H211" s="686"/>
      <c r="I211" s="686"/>
      <c r="J211" s="686"/>
      <c r="K211" s="686"/>
      <c r="L211" s="729" t="s">
        <v>74</v>
      </c>
      <c r="M211" s="281" t="s">
        <v>22</v>
      </c>
      <c r="N211" s="702" t="s">
        <v>264</v>
      </c>
      <c r="O211" s="703">
        <f ca="1">IF(VLOOKUP($N211,Data!$C:$H,1,TRUE)=$N211,VLOOKUP($N211,Data!$C:$H,6,TRUE),NA())</f>
        <v>0</v>
      </c>
      <c r="P211" s="703">
        <f t="shared" ca="1" si="3"/>
        <v>0</v>
      </c>
      <c r="Q211" s="466"/>
      <c r="R211" s="467"/>
      <c r="S211" s="297"/>
      <c r="T211" s="297"/>
      <c r="U211" s="297"/>
      <c r="V211" s="297"/>
      <c r="W211" s="467"/>
    </row>
    <row r="212" spans="1:23" ht="14" customHeight="1" x14ac:dyDescent="0.25">
      <c r="A212" s="332"/>
      <c r="B212" s="461"/>
      <c r="C212" s="686"/>
      <c r="H212" s="686"/>
      <c r="I212" s="686"/>
      <c r="J212" s="686"/>
      <c r="K212" s="686"/>
      <c r="L212" s="729" t="s">
        <v>74</v>
      </c>
      <c r="M212" s="281" t="s">
        <v>23</v>
      </c>
      <c r="N212" s="702" t="s">
        <v>265</v>
      </c>
      <c r="O212" s="703">
        <f ca="1">IF(VLOOKUP($N212,Data!$C:$H,1,TRUE)=$N212,VLOOKUP($N212,Data!$C:$H,6,TRUE),NA())</f>
        <v>0</v>
      </c>
      <c r="P212" s="703">
        <f t="shared" ca="1" si="3"/>
        <v>0</v>
      </c>
      <c r="Q212" s="466"/>
      <c r="R212" s="467"/>
      <c r="S212" s="297"/>
      <c r="T212" s="297"/>
      <c r="U212" s="297"/>
      <c r="V212" s="297"/>
      <c r="W212" s="467"/>
    </row>
    <row r="213" spans="1:23" ht="14" customHeight="1" x14ac:dyDescent="0.25">
      <c r="A213" s="332"/>
      <c r="B213" s="461"/>
      <c r="C213" s="686"/>
      <c r="H213" s="686"/>
      <c r="I213" s="686"/>
      <c r="J213" s="686"/>
      <c r="K213" s="686"/>
      <c r="L213" s="729" t="s">
        <v>74</v>
      </c>
      <c r="M213" s="281" t="s">
        <v>24</v>
      </c>
      <c r="N213" s="702" t="s">
        <v>266</v>
      </c>
      <c r="O213" s="703">
        <f ca="1">IF(VLOOKUP($N213,Data!$C:$H,1,TRUE)=$N213,VLOOKUP($N213,Data!$C:$H,6,TRUE),NA())</f>
        <v>0</v>
      </c>
      <c r="P213" s="703">
        <f t="shared" ca="1" si="3"/>
        <v>0</v>
      </c>
      <c r="Q213" s="466"/>
      <c r="R213" s="467"/>
      <c r="S213" s="297"/>
      <c r="T213" s="297"/>
      <c r="U213" s="297"/>
      <c r="V213" s="297"/>
      <c r="W213" s="467"/>
    </row>
    <row r="214" spans="1:23" ht="14" customHeight="1" x14ac:dyDescent="0.25">
      <c r="A214" s="332"/>
      <c r="B214" s="461"/>
      <c r="C214" s="686"/>
      <c r="H214" s="686"/>
      <c r="I214" s="686"/>
      <c r="J214" s="686"/>
      <c r="K214" s="686"/>
      <c r="L214" s="729" t="s">
        <v>74</v>
      </c>
      <c r="M214" s="281" t="s">
        <v>112</v>
      </c>
      <c r="N214" s="702" t="s">
        <v>267</v>
      </c>
      <c r="O214" s="703">
        <f ca="1">IF(VLOOKUP($N214,Data!$C:$H,1,TRUE)=$N214,VLOOKUP($N214,Data!$C:$H,6,TRUE),NA())</f>
        <v>0</v>
      </c>
      <c r="P214" s="703">
        <f t="shared" ca="1" si="3"/>
        <v>0</v>
      </c>
      <c r="Q214" s="466"/>
      <c r="R214" s="467"/>
      <c r="S214" s="297"/>
      <c r="T214" s="297"/>
      <c r="U214" s="297"/>
      <c r="V214" s="297"/>
      <c r="W214" s="467"/>
    </row>
    <row r="215" spans="1:23" ht="14" customHeight="1" x14ac:dyDescent="0.25">
      <c r="A215" s="332"/>
      <c r="B215" s="461"/>
      <c r="C215" s="686"/>
      <c r="H215" s="686"/>
      <c r="I215" s="686"/>
      <c r="J215" s="686"/>
      <c r="K215" s="686"/>
      <c r="L215" s="729" t="s">
        <v>74</v>
      </c>
      <c r="M215" s="281" t="s">
        <v>176</v>
      </c>
      <c r="N215" s="702" t="s">
        <v>268</v>
      </c>
      <c r="O215" s="703">
        <f ca="1">IF(VLOOKUP($N215,Data!$C:$H,1,TRUE)=$N215,VLOOKUP($N215,Data!$C:$H,6,TRUE),NA())</f>
        <v>0</v>
      </c>
      <c r="P215" s="703">
        <f t="shared" ca="1" si="3"/>
        <v>0</v>
      </c>
      <c r="Q215" s="466"/>
      <c r="R215" s="467"/>
      <c r="S215" s="297"/>
      <c r="T215" s="297"/>
      <c r="U215" s="297"/>
      <c r="V215" s="297"/>
      <c r="W215" s="467"/>
    </row>
    <row r="216" spans="1:23" ht="14" customHeight="1" x14ac:dyDescent="0.25">
      <c r="A216" s="332"/>
      <c r="B216" s="461"/>
      <c r="C216" s="686"/>
      <c r="H216" s="686"/>
      <c r="I216" s="686"/>
      <c r="J216" s="686"/>
      <c r="K216" s="686"/>
      <c r="L216" s="729" t="s">
        <v>74</v>
      </c>
      <c r="M216" s="281" t="s">
        <v>178</v>
      </c>
      <c r="N216" s="702" t="s">
        <v>269</v>
      </c>
      <c r="O216" s="703">
        <f ca="1">IF(VLOOKUP($N216,Data!$C:$H,1,TRUE)=$N216,VLOOKUP($N216,Data!$C:$H,6,TRUE),NA())</f>
        <v>0</v>
      </c>
      <c r="P216" s="703">
        <f t="shared" ca="1" si="3"/>
        <v>0</v>
      </c>
      <c r="Q216" s="466"/>
      <c r="R216" s="467"/>
      <c r="S216" s="297"/>
      <c r="T216" s="297"/>
      <c r="U216" s="297"/>
      <c r="V216" s="297"/>
      <c r="W216" s="467"/>
    </row>
    <row r="217" spans="1:23" ht="14" customHeight="1" x14ac:dyDescent="0.25">
      <c r="A217" s="332"/>
      <c r="B217" s="461"/>
      <c r="C217" s="686"/>
      <c r="H217" s="686"/>
      <c r="I217" s="686"/>
      <c r="J217" s="686"/>
      <c r="K217" s="686"/>
      <c r="L217" s="729" t="s">
        <v>74</v>
      </c>
      <c r="M217" s="281" t="s">
        <v>209</v>
      </c>
      <c r="N217" s="702" t="s">
        <v>270</v>
      </c>
      <c r="O217" s="703">
        <f ca="1">IF(VLOOKUP($N217,Data!$C:$H,1,TRUE)=$N217,VLOOKUP($N217,Data!$C:$H,6,TRUE),NA())</f>
        <v>0</v>
      </c>
      <c r="P217" s="703">
        <f t="shared" ca="1" si="3"/>
        <v>0</v>
      </c>
      <c r="Q217" s="466"/>
      <c r="R217" s="467"/>
      <c r="S217" s="297"/>
      <c r="T217" s="297"/>
      <c r="U217" s="297"/>
      <c r="V217" s="297"/>
      <c r="W217" s="467"/>
    </row>
    <row r="218" spans="1:23" ht="14" customHeight="1" x14ac:dyDescent="0.25">
      <c r="A218" s="332"/>
      <c r="B218" s="461"/>
      <c r="C218" s="686"/>
      <c r="H218" s="686"/>
      <c r="I218" s="686"/>
      <c r="J218" s="686"/>
      <c r="K218" s="686"/>
      <c r="L218" s="729" t="s">
        <v>74</v>
      </c>
      <c r="M218" s="281" t="s">
        <v>25</v>
      </c>
      <c r="N218" s="702" t="s">
        <v>271</v>
      </c>
      <c r="O218" s="703">
        <f ca="1">IF(VLOOKUP($N218,Data!$C:$H,1,TRUE)=$N218,VLOOKUP($N218,Data!$C:$H,6,TRUE),NA())</f>
        <v>0</v>
      </c>
      <c r="P218" s="703">
        <f t="shared" ca="1" si="3"/>
        <v>0</v>
      </c>
      <c r="Q218" s="466"/>
      <c r="R218" s="467"/>
      <c r="S218" s="297"/>
      <c r="T218" s="297"/>
      <c r="U218" s="297"/>
      <c r="V218" s="297"/>
      <c r="W218" s="467"/>
    </row>
    <row r="219" spans="1:23" ht="14" customHeight="1" x14ac:dyDescent="0.25">
      <c r="A219" s="332"/>
      <c r="B219" s="461"/>
      <c r="C219" s="686"/>
      <c r="H219" s="686"/>
      <c r="I219" s="686"/>
      <c r="J219" s="686"/>
      <c r="K219" s="686"/>
      <c r="L219" s="729" t="s">
        <v>74</v>
      </c>
      <c r="M219" s="281" t="s">
        <v>26</v>
      </c>
      <c r="N219" s="702" t="s">
        <v>272</v>
      </c>
      <c r="O219" s="703">
        <f ca="1">IF(VLOOKUP($N219,Data!$C:$H,1,TRUE)=$N219,VLOOKUP($N219,Data!$C:$H,6,TRUE),NA())</f>
        <v>0</v>
      </c>
      <c r="P219" s="703">
        <f t="shared" ca="1" si="3"/>
        <v>0</v>
      </c>
      <c r="Q219" s="466"/>
      <c r="R219" s="467"/>
      <c r="S219" s="297"/>
      <c r="T219" s="297"/>
      <c r="U219" s="297"/>
      <c r="V219" s="297"/>
      <c r="W219" s="467"/>
    </row>
    <row r="220" spans="1:23" ht="14" customHeight="1" x14ac:dyDescent="0.25">
      <c r="A220" s="332"/>
      <c r="B220" s="461"/>
      <c r="C220" s="686"/>
      <c r="H220" s="686"/>
      <c r="I220" s="686"/>
      <c r="J220" s="686"/>
      <c r="K220" s="686"/>
      <c r="L220" s="729" t="s">
        <v>74</v>
      </c>
      <c r="M220" s="281" t="s">
        <v>27</v>
      </c>
      <c r="N220" s="702" t="s">
        <v>273</v>
      </c>
      <c r="O220" s="703">
        <f ca="1">IF(VLOOKUP($N220,Data!$C:$H,1,TRUE)=$N220,VLOOKUP($N220,Data!$C:$H,6,TRUE),NA())</f>
        <v>0</v>
      </c>
      <c r="P220" s="703">
        <f t="shared" ca="1" si="3"/>
        <v>0</v>
      </c>
      <c r="Q220" s="466"/>
      <c r="R220" s="467"/>
      <c r="S220" s="297"/>
      <c r="T220" s="297"/>
      <c r="U220" s="297"/>
      <c r="V220" s="297"/>
      <c r="W220" s="467"/>
    </row>
    <row r="221" spans="1:23" ht="14" customHeight="1" x14ac:dyDescent="0.25">
      <c r="A221" s="332"/>
      <c r="B221" s="461"/>
      <c r="C221" s="686"/>
      <c r="H221" s="686"/>
      <c r="I221" s="686"/>
      <c r="J221" s="686"/>
      <c r="K221" s="686"/>
      <c r="L221" s="729" t="s">
        <v>74</v>
      </c>
      <c r="M221" s="281" t="s">
        <v>28</v>
      </c>
      <c r="N221" s="702" t="s">
        <v>274</v>
      </c>
      <c r="O221" s="703">
        <f ca="1">IF(VLOOKUP($N221,Data!$C:$H,1,TRUE)=$N221,VLOOKUP($N221,Data!$C:$H,6,TRUE),NA())</f>
        <v>0</v>
      </c>
      <c r="P221" s="703">
        <f t="shared" ca="1" si="3"/>
        <v>0</v>
      </c>
      <c r="Q221" s="466"/>
      <c r="R221" s="467"/>
      <c r="S221" s="297"/>
      <c r="T221" s="297"/>
      <c r="U221" s="297"/>
      <c r="V221" s="297"/>
      <c r="W221" s="467"/>
    </row>
    <row r="222" spans="1:23" ht="14" customHeight="1" x14ac:dyDescent="0.25">
      <c r="A222" s="332"/>
      <c r="B222" s="461"/>
      <c r="C222" s="686"/>
      <c r="H222" s="686"/>
      <c r="I222" s="686"/>
      <c r="J222" s="686"/>
      <c r="K222" s="686"/>
      <c r="L222" s="729" t="s">
        <v>74</v>
      </c>
      <c r="M222" s="281" t="s">
        <v>29</v>
      </c>
      <c r="N222" s="702" t="s">
        <v>275</v>
      </c>
      <c r="O222" s="703">
        <f ca="1">IF(VLOOKUP($N222,Data!$C:$H,1,TRUE)=$N222,VLOOKUP($N222,Data!$C:$H,6,TRUE),NA())</f>
        <v>0</v>
      </c>
      <c r="P222" s="703">
        <f t="shared" ca="1" si="3"/>
        <v>0</v>
      </c>
      <c r="Q222" s="466"/>
      <c r="R222" s="467"/>
      <c r="S222" s="297"/>
      <c r="T222" s="297"/>
      <c r="U222" s="297"/>
      <c r="V222" s="297"/>
      <c r="W222" s="467"/>
    </row>
    <row r="223" spans="1:23" ht="14" customHeight="1" x14ac:dyDescent="0.25">
      <c r="A223" s="332"/>
      <c r="B223" s="461"/>
      <c r="C223" s="686"/>
      <c r="H223" s="686"/>
      <c r="I223" s="686"/>
      <c r="J223" s="686"/>
      <c r="K223" s="686"/>
      <c r="L223" s="729" t="s">
        <v>74</v>
      </c>
      <c r="M223" s="281" t="s">
        <v>30</v>
      </c>
      <c r="N223" s="702" t="s">
        <v>276</v>
      </c>
      <c r="O223" s="703">
        <f ca="1">IF(VLOOKUP($N223,Data!$C:$H,1,TRUE)=$N223,VLOOKUP($N223,Data!$C:$H,6,TRUE),NA())</f>
        <v>0</v>
      </c>
      <c r="P223" s="703">
        <f t="shared" ca="1" si="3"/>
        <v>0</v>
      </c>
      <c r="Q223" s="466"/>
      <c r="R223" s="467"/>
      <c r="S223" s="297"/>
      <c r="T223" s="297"/>
      <c r="U223" s="297"/>
      <c r="V223" s="297"/>
      <c r="W223" s="467"/>
    </row>
    <row r="224" spans="1:23" ht="14" customHeight="1" x14ac:dyDescent="0.25">
      <c r="A224" s="332"/>
      <c r="B224" s="461"/>
      <c r="C224" s="686"/>
      <c r="H224" s="686"/>
      <c r="I224" s="686"/>
      <c r="J224" s="686"/>
      <c r="K224" s="686"/>
      <c r="L224" s="729" t="s">
        <v>74</v>
      </c>
      <c r="M224" s="281" t="s">
        <v>31</v>
      </c>
      <c r="N224" s="702" t="s">
        <v>277</v>
      </c>
      <c r="O224" s="703">
        <f ca="1">IF(VLOOKUP($N224,Data!$C:$H,1,TRUE)=$N224,VLOOKUP($N224,Data!$C:$H,6,TRUE),NA())</f>
        <v>0</v>
      </c>
      <c r="P224" s="703">
        <f t="shared" ca="1" si="3"/>
        <v>0</v>
      </c>
      <c r="Q224" s="466"/>
      <c r="R224" s="467"/>
      <c r="S224" s="297"/>
      <c r="T224" s="297"/>
      <c r="U224" s="297"/>
      <c r="V224" s="297"/>
      <c r="W224" s="467"/>
    </row>
    <row r="225" spans="1:23" ht="14" customHeight="1" x14ac:dyDescent="0.25">
      <c r="A225" s="332"/>
      <c r="B225" s="461"/>
      <c r="C225" s="686"/>
      <c r="H225" s="686"/>
      <c r="I225" s="686"/>
      <c r="J225" s="686"/>
      <c r="K225" s="686"/>
      <c r="L225" s="729" t="s">
        <v>74</v>
      </c>
      <c r="M225" s="281" t="s">
        <v>247</v>
      </c>
      <c r="N225" s="702" t="s">
        <v>278</v>
      </c>
      <c r="O225" s="703">
        <f ca="1">IF(VLOOKUP($N225,Data!$C:$H,1,TRUE)=$N225,VLOOKUP($N225,Data!$C:$H,6,TRUE),NA())</f>
        <v>0</v>
      </c>
      <c r="P225" s="703">
        <f t="shared" ca="1" si="3"/>
        <v>0</v>
      </c>
      <c r="Q225" s="466"/>
      <c r="R225" s="467"/>
      <c r="S225" s="297"/>
      <c r="T225" s="297"/>
      <c r="U225" s="297"/>
      <c r="V225" s="297"/>
      <c r="W225" s="467"/>
    </row>
    <row r="226" spans="1:23" ht="14" customHeight="1" x14ac:dyDescent="0.25">
      <c r="A226" s="332"/>
      <c r="B226" s="461"/>
      <c r="C226" s="686"/>
      <c r="H226" s="686"/>
      <c r="I226" s="686"/>
      <c r="J226" s="686"/>
      <c r="K226" s="686"/>
      <c r="L226" s="729" t="s">
        <v>74</v>
      </c>
      <c r="M226" s="281" t="s">
        <v>280</v>
      </c>
      <c r="N226" s="702" t="s">
        <v>279</v>
      </c>
      <c r="O226" s="703">
        <f ca="1">IF(VLOOKUP($N226,Data!$C:$H,1,TRUE)=$N226,VLOOKUP($N226,Data!$C:$H,6,TRUE),NA())</f>
        <v>0</v>
      </c>
      <c r="P226" s="703">
        <f t="shared" ca="1" si="3"/>
        <v>0</v>
      </c>
      <c r="Q226" s="466"/>
      <c r="R226" s="467"/>
      <c r="S226" s="297"/>
      <c r="T226" s="297"/>
      <c r="U226" s="297"/>
      <c r="V226" s="297"/>
      <c r="W226" s="467"/>
    </row>
    <row r="227" spans="1:23" ht="14" customHeight="1" x14ac:dyDescent="0.25">
      <c r="A227" s="332"/>
      <c r="B227" s="461"/>
      <c r="C227" s="686"/>
      <c r="H227" s="686"/>
      <c r="I227" s="686"/>
      <c r="J227" s="686"/>
      <c r="K227" s="686"/>
      <c r="L227" s="729" t="s">
        <v>74</v>
      </c>
      <c r="M227" s="281" t="s">
        <v>282</v>
      </c>
      <c r="N227" s="702" t="s">
        <v>281</v>
      </c>
      <c r="O227" s="703">
        <f ca="1">IF(VLOOKUP($N227,Data!$C:$H,1,TRUE)=$N227,VLOOKUP($N227,Data!$C:$H,6,TRUE),NA())</f>
        <v>0</v>
      </c>
      <c r="P227" s="703">
        <f t="shared" ca="1" si="3"/>
        <v>0</v>
      </c>
      <c r="Q227" s="466"/>
      <c r="R227" s="467"/>
      <c r="S227" s="297"/>
      <c r="T227" s="297"/>
      <c r="U227" s="297"/>
      <c r="V227" s="297"/>
      <c r="W227" s="467"/>
    </row>
    <row r="228" spans="1:23" ht="14" customHeight="1" x14ac:dyDescent="0.25">
      <c r="A228" s="332"/>
      <c r="B228" s="461"/>
      <c r="C228" s="686"/>
      <c r="H228" s="686"/>
      <c r="I228" s="686"/>
      <c r="J228" s="686"/>
      <c r="K228" s="686"/>
      <c r="L228" s="729" t="s">
        <v>74</v>
      </c>
      <c r="M228" s="281" t="s">
        <v>126</v>
      </c>
      <c r="N228" s="702" t="s">
        <v>283</v>
      </c>
      <c r="O228" s="703">
        <f ca="1">IF(VLOOKUP($N228,Data!$C:$H,1,TRUE)=$N228,VLOOKUP($N228,Data!$C:$H,6,TRUE),NA())</f>
        <v>0</v>
      </c>
      <c r="P228" s="703">
        <f t="shared" ca="1" si="3"/>
        <v>0</v>
      </c>
      <c r="Q228" s="466"/>
      <c r="R228" s="467"/>
      <c r="S228" s="297"/>
      <c r="T228" s="297"/>
      <c r="U228" s="297"/>
      <c r="V228" s="297"/>
      <c r="W228" s="467"/>
    </row>
    <row r="229" spans="1:23" ht="14" customHeight="1" x14ac:dyDescent="0.25">
      <c r="A229" s="332"/>
      <c r="B229" s="461"/>
      <c r="C229" s="686"/>
      <c r="H229" s="686"/>
      <c r="I229" s="686"/>
      <c r="J229" s="686"/>
      <c r="K229" s="686"/>
      <c r="L229" s="729" t="s">
        <v>74</v>
      </c>
      <c r="M229" s="281" t="s">
        <v>129</v>
      </c>
      <c r="N229" s="702" t="s">
        <v>284</v>
      </c>
      <c r="O229" s="703">
        <f ca="1">IF(VLOOKUP($N229,Data!$C:$H,1,TRUE)=$N229,VLOOKUP($N229,Data!$C:$H,6,TRUE),NA())</f>
        <v>0</v>
      </c>
      <c r="P229" s="703">
        <f t="shared" ca="1" si="3"/>
        <v>0</v>
      </c>
      <c r="Q229" s="466"/>
      <c r="R229" s="467"/>
      <c r="S229" s="297"/>
      <c r="T229" s="297"/>
      <c r="U229" s="297"/>
      <c r="V229" s="297"/>
      <c r="W229" s="467"/>
    </row>
    <row r="230" spans="1:23" ht="14" customHeight="1" x14ac:dyDescent="0.25">
      <c r="A230" s="332"/>
      <c r="B230" s="461"/>
      <c r="C230" s="686"/>
      <c r="H230" s="686"/>
      <c r="I230" s="686"/>
      <c r="J230" s="686"/>
      <c r="K230" s="686"/>
      <c r="L230" s="729" t="s">
        <v>74</v>
      </c>
      <c r="M230" s="281" t="s">
        <v>132</v>
      </c>
      <c r="N230" s="702" t="s">
        <v>285</v>
      </c>
      <c r="O230" s="703">
        <f ca="1">IF(VLOOKUP($N230,Data!$C:$H,1,TRUE)=$N230,VLOOKUP($N230,Data!$C:$H,6,TRUE),NA())</f>
        <v>0</v>
      </c>
      <c r="P230" s="703">
        <f t="shared" ca="1" si="3"/>
        <v>0</v>
      </c>
      <c r="Q230" s="466"/>
      <c r="R230" s="467"/>
      <c r="S230" s="297"/>
      <c r="T230" s="297"/>
      <c r="U230" s="297"/>
      <c r="V230" s="297"/>
      <c r="W230" s="467"/>
    </row>
    <row r="231" spans="1:23" ht="14" customHeight="1" x14ac:dyDescent="0.25">
      <c r="A231" s="332"/>
      <c r="B231" s="461"/>
      <c r="C231" s="686"/>
      <c r="H231" s="686"/>
      <c r="I231" s="686"/>
      <c r="J231" s="686"/>
      <c r="K231" s="686"/>
      <c r="L231" s="729" t="s">
        <v>74</v>
      </c>
      <c r="M231" s="281" t="s">
        <v>135</v>
      </c>
      <c r="N231" s="702" t="s">
        <v>286</v>
      </c>
      <c r="O231" s="703">
        <f ca="1">IF(VLOOKUP($N231,Data!$C:$H,1,TRUE)=$N231,VLOOKUP($N231,Data!$C:$H,6,TRUE),NA())</f>
        <v>0</v>
      </c>
      <c r="P231" s="703">
        <f t="shared" ca="1" si="3"/>
        <v>0</v>
      </c>
      <c r="Q231" s="466"/>
      <c r="R231" s="467"/>
      <c r="S231" s="297"/>
      <c r="T231" s="297"/>
      <c r="U231" s="297"/>
      <c r="V231" s="297"/>
      <c r="W231" s="467"/>
    </row>
    <row r="232" spans="1:23" ht="14" customHeight="1" x14ac:dyDescent="0.25">
      <c r="A232" s="332"/>
      <c r="B232" s="461"/>
      <c r="C232" s="686"/>
      <c r="H232" s="686"/>
      <c r="I232" s="686"/>
      <c r="J232" s="686"/>
      <c r="K232" s="686"/>
      <c r="L232" s="729" t="s">
        <v>74</v>
      </c>
      <c r="M232" s="281" t="s">
        <v>138</v>
      </c>
      <c r="N232" s="702" t="s">
        <v>287</v>
      </c>
      <c r="O232" s="703">
        <f ca="1">IF(VLOOKUP($N232,Data!$C:$H,1,TRUE)=$N232,VLOOKUP($N232,Data!$C:$H,6,TRUE),NA())</f>
        <v>0</v>
      </c>
      <c r="P232" s="703">
        <f t="shared" ca="1" si="3"/>
        <v>0</v>
      </c>
      <c r="Q232" s="466"/>
      <c r="R232" s="467"/>
      <c r="S232" s="297"/>
      <c r="T232" s="297"/>
      <c r="U232" s="297"/>
      <c r="V232" s="297"/>
      <c r="W232" s="467"/>
    </row>
    <row r="233" spans="1:23" ht="14" customHeight="1" x14ac:dyDescent="0.25">
      <c r="A233" s="332"/>
      <c r="B233" s="461"/>
      <c r="C233" s="686"/>
      <c r="H233" s="686"/>
      <c r="I233" s="686"/>
      <c r="J233" s="686"/>
      <c r="K233" s="686"/>
      <c r="L233" s="729" t="s">
        <v>74</v>
      </c>
      <c r="M233" s="281" t="s">
        <v>140</v>
      </c>
      <c r="N233" s="702" t="s">
        <v>288</v>
      </c>
      <c r="O233" s="703">
        <f ca="1">IF(VLOOKUP($N233,Data!$C:$H,1,TRUE)=$N233,VLOOKUP($N233,Data!$C:$H,6,TRUE),NA())</f>
        <v>0</v>
      </c>
      <c r="P233" s="703">
        <f t="shared" ca="1" si="3"/>
        <v>0</v>
      </c>
      <c r="Q233" s="466"/>
      <c r="R233" s="467"/>
      <c r="S233" s="297"/>
      <c r="T233" s="297"/>
      <c r="U233" s="297"/>
      <c r="V233" s="297"/>
      <c r="W233" s="467"/>
    </row>
    <row r="234" spans="1:23" ht="14" customHeight="1" x14ac:dyDescent="0.25">
      <c r="A234" s="332"/>
      <c r="B234" s="461"/>
      <c r="C234" s="686"/>
      <c r="H234" s="686"/>
      <c r="I234" s="686"/>
      <c r="J234" s="686"/>
      <c r="K234" s="686"/>
      <c r="L234" s="729" t="s">
        <v>74</v>
      </c>
      <c r="M234" s="281" t="s">
        <v>255</v>
      </c>
      <c r="N234" s="702" t="s">
        <v>289</v>
      </c>
      <c r="O234" s="703">
        <f ca="1">IF(VLOOKUP($N234,Data!$C:$H,1,TRUE)=$N234,VLOOKUP($N234,Data!$C:$H,6,TRUE),NA())</f>
        <v>0</v>
      </c>
      <c r="P234" s="703">
        <f t="shared" ca="1" si="3"/>
        <v>0</v>
      </c>
      <c r="Q234" s="466"/>
      <c r="R234" s="467"/>
      <c r="S234" s="297"/>
      <c r="T234" s="297"/>
      <c r="U234" s="297"/>
      <c r="V234" s="297"/>
      <c r="W234" s="467"/>
    </row>
    <row r="235" spans="1:23" ht="14" customHeight="1" x14ac:dyDescent="0.25">
      <c r="A235" s="332"/>
      <c r="B235" s="461"/>
      <c r="C235" s="686"/>
      <c r="H235" s="686"/>
      <c r="I235" s="686"/>
      <c r="J235" s="686"/>
      <c r="K235" s="686"/>
      <c r="L235" s="729" t="s">
        <v>77</v>
      </c>
      <c r="M235" s="281" t="s">
        <v>7</v>
      </c>
      <c r="N235" s="702" t="s">
        <v>290</v>
      </c>
      <c r="O235" s="703">
        <f ca="1">IF(VLOOKUP($N235,Data!$C:$H,1,TRUE)=$N235,VLOOKUP($N235,Data!$C:$H,6,TRUE),NA())</f>
        <v>0</v>
      </c>
      <c r="P235" s="703">
        <f t="shared" ca="1" si="3"/>
        <v>0</v>
      </c>
      <c r="Q235" s="466"/>
      <c r="R235" s="467"/>
      <c r="S235" s="297"/>
      <c r="T235" s="297"/>
      <c r="U235" s="297"/>
      <c r="V235" s="297"/>
      <c r="W235" s="467"/>
    </row>
    <row r="236" spans="1:23" ht="14" customHeight="1" x14ac:dyDescent="0.25">
      <c r="A236" s="332"/>
      <c r="B236" s="461"/>
      <c r="C236" s="686"/>
      <c r="H236" s="686"/>
      <c r="I236" s="686"/>
      <c r="J236" s="686"/>
      <c r="K236" s="686"/>
      <c r="L236" s="730" t="s">
        <v>77</v>
      </c>
      <c r="M236" s="281" t="s">
        <v>9</v>
      </c>
      <c r="N236" s="702" t="s">
        <v>291</v>
      </c>
      <c r="O236" s="703">
        <f ca="1">IF(VLOOKUP($N236,Data!$C:$H,1,TRUE)=$N236,VLOOKUP($N236,Data!$C:$H,6,TRUE),NA())</f>
        <v>0</v>
      </c>
      <c r="P236" s="703">
        <f t="shared" ca="1" si="3"/>
        <v>0</v>
      </c>
      <c r="Q236" s="466"/>
      <c r="R236" s="467"/>
      <c r="S236" s="297"/>
      <c r="T236" s="297"/>
      <c r="U236" s="297"/>
      <c r="V236" s="297"/>
      <c r="W236" s="467"/>
    </row>
    <row r="237" spans="1:23" ht="14" customHeight="1" x14ac:dyDescent="0.25">
      <c r="A237" s="332"/>
      <c r="B237" s="461"/>
      <c r="C237" s="686"/>
      <c r="H237" s="686"/>
      <c r="I237" s="686"/>
      <c r="J237" s="686"/>
      <c r="K237" s="686"/>
      <c r="L237" s="729" t="s">
        <v>77</v>
      </c>
      <c r="M237" s="281" t="s">
        <v>10</v>
      </c>
      <c r="N237" s="702" t="s">
        <v>292</v>
      </c>
      <c r="O237" s="703">
        <f ca="1">IF(VLOOKUP($N237,Data!$C:$H,1,TRUE)=$N237,VLOOKUP($N237,Data!$C:$H,6,TRUE),NA())</f>
        <v>0</v>
      </c>
      <c r="P237" s="703">
        <f t="shared" ca="1" si="3"/>
        <v>0</v>
      </c>
      <c r="Q237" s="466"/>
      <c r="R237" s="467"/>
      <c r="S237" s="297"/>
      <c r="T237" s="297"/>
      <c r="U237" s="297"/>
      <c r="V237" s="297"/>
      <c r="W237" s="467"/>
    </row>
    <row r="238" spans="1:23" ht="14" customHeight="1" x14ac:dyDescent="0.25">
      <c r="A238" s="332"/>
      <c r="B238" s="461"/>
      <c r="C238" s="686"/>
      <c r="H238" s="686"/>
      <c r="I238" s="686"/>
      <c r="J238" s="686"/>
      <c r="K238" s="686"/>
      <c r="L238" s="730" t="s">
        <v>77</v>
      </c>
      <c r="M238" s="281" t="s">
        <v>11</v>
      </c>
      <c r="N238" s="702" t="s">
        <v>293</v>
      </c>
      <c r="O238" s="703">
        <f ca="1">IF(VLOOKUP($N238,Data!$C:$H,1,TRUE)=$N238,VLOOKUP($N238,Data!$C:$H,6,TRUE),NA())</f>
        <v>0</v>
      </c>
      <c r="P238" s="703">
        <f t="shared" ca="1" si="3"/>
        <v>0</v>
      </c>
      <c r="Q238" s="466"/>
      <c r="R238" s="467"/>
      <c r="S238" s="297"/>
      <c r="T238" s="297"/>
      <c r="U238" s="297"/>
      <c r="V238" s="297"/>
      <c r="W238" s="467"/>
    </row>
    <row r="239" spans="1:23" ht="14" customHeight="1" x14ac:dyDescent="0.25">
      <c r="A239" s="332"/>
      <c r="B239" s="461"/>
      <c r="C239" s="686"/>
      <c r="H239" s="686"/>
      <c r="I239" s="686"/>
      <c r="J239" s="686"/>
      <c r="K239" s="686"/>
      <c r="L239" s="729" t="s">
        <v>77</v>
      </c>
      <c r="M239" s="281" t="s">
        <v>12</v>
      </c>
      <c r="N239" s="702" t="s">
        <v>294</v>
      </c>
      <c r="O239" s="703">
        <f ca="1">IF(VLOOKUP($N239,Data!$C:$H,1,TRUE)=$N239,VLOOKUP($N239,Data!$C:$H,6,TRUE),NA())</f>
        <v>0</v>
      </c>
      <c r="P239" s="703">
        <f t="shared" ca="1" si="3"/>
        <v>0</v>
      </c>
      <c r="Q239" s="466"/>
      <c r="R239" s="467"/>
      <c r="S239" s="297"/>
      <c r="T239" s="297"/>
      <c r="U239" s="297"/>
      <c r="V239" s="297"/>
      <c r="W239" s="467"/>
    </row>
    <row r="240" spans="1:23" ht="14" customHeight="1" x14ac:dyDescent="0.25">
      <c r="A240" s="332"/>
      <c r="B240" s="461"/>
      <c r="C240" s="686"/>
      <c r="H240" s="686"/>
      <c r="I240" s="686"/>
      <c r="J240" s="686"/>
      <c r="K240" s="686"/>
      <c r="L240" s="730" t="s">
        <v>77</v>
      </c>
      <c r="M240" s="281" t="s">
        <v>13</v>
      </c>
      <c r="N240" s="702" t="s">
        <v>295</v>
      </c>
      <c r="O240" s="703">
        <f ca="1">IF(VLOOKUP($N240,Data!$C:$H,1,TRUE)=$N240,VLOOKUP($N240,Data!$C:$H,6,TRUE),NA())</f>
        <v>0</v>
      </c>
      <c r="P240" s="703">
        <f t="shared" ca="1" si="3"/>
        <v>0</v>
      </c>
      <c r="Q240" s="466"/>
      <c r="R240" s="467"/>
      <c r="S240" s="297"/>
      <c r="T240" s="297"/>
      <c r="U240" s="297"/>
      <c r="V240" s="297"/>
      <c r="W240" s="467"/>
    </row>
    <row r="241" spans="1:23" ht="14" customHeight="1" x14ac:dyDescent="0.25">
      <c r="A241" s="332"/>
      <c r="B241" s="461"/>
      <c r="C241" s="686"/>
      <c r="H241" s="686"/>
      <c r="I241" s="686"/>
      <c r="J241" s="686"/>
      <c r="K241" s="686"/>
      <c r="L241" s="729" t="s">
        <v>77</v>
      </c>
      <c r="M241" s="281" t="s">
        <v>14</v>
      </c>
      <c r="N241" s="702" t="s">
        <v>296</v>
      </c>
      <c r="O241" s="703">
        <f ca="1">IF(VLOOKUP($N241,Data!$C:$H,1,TRUE)=$N241,VLOOKUP($N241,Data!$C:$H,6,TRUE),NA())</f>
        <v>0</v>
      </c>
      <c r="P241" s="703">
        <f t="shared" ca="1" si="3"/>
        <v>0</v>
      </c>
      <c r="Q241" s="466"/>
      <c r="R241" s="467"/>
      <c r="S241" s="297"/>
      <c r="T241" s="297"/>
      <c r="U241" s="297"/>
      <c r="V241" s="297"/>
      <c r="W241" s="467"/>
    </row>
    <row r="242" spans="1:23" ht="14" customHeight="1" x14ac:dyDescent="0.25">
      <c r="A242" s="332"/>
      <c r="B242" s="461"/>
      <c r="C242" s="686"/>
      <c r="H242" s="686"/>
      <c r="I242" s="686"/>
      <c r="J242" s="686"/>
      <c r="K242" s="686"/>
      <c r="L242" s="730" t="s">
        <v>77</v>
      </c>
      <c r="M242" s="281" t="s">
        <v>20</v>
      </c>
      <c r="N242" s="702" t="s">
        <v>297</v>
      </c>
      <c r="O242" s="703">
        <f ca="1">IF(VLOOKUP($N242,Data!$C:$H,1,TRUE)=$N242,VLOOKUP($N242,Data!$C:$H,6,TRUE),NA())</f>
        <v>0</v>
      </c>
      <c r="P242" s="703">
        <f t="shared" ca="1" si="3"/>
        <v>0</v>
      </c>
      <c r="Q242" s="466"/>
      <c r="R242" s="467"/>
      <c r="S242" s="297"/>
      <c r="T242" s="297"/>
      <c r="U242" s="297"/>
      <c r="V242" s="297"/>
      <c r="W242" s="467"/>
    </row>
    <row r="243" spans="1:23" ht="14" customHeight="1" x14ac:dyDescent="0.25">
      <c r="A243" s="332"/>
      <c r="B243" s="461"/>
      <c r="C243" s="686"/>
      <c r="H243" s="686"/>
      <c r="I243" s="686"/>
      <c r="J243" s="686"/>
      <c r="K243" s="686"/>
      <c r="L243" s="729" t="s">
        <v>77</v>
      </c>
      <c r="M243" s="281" t="s">
        <v>21</v>
      </c>
      <c r="N243" s="702" t="s">
        <v>298</v>
      </c>
      <c r="O243" s="703">
        <f ca="1">IF(VLOOKUP($N243,Data!$C:$H,1,TRUE)=$N243,VLOOKUP($N243,Data!$C:$H,6,TRUE),NA())</f>
        <v>0</v>
      </c>
      <c r="P243" s="703">
        <f t="shared" ca="1" si="3"/>
        <v>0</v>
      </c>
      <c r="Q243" s="466"/>
      <c r="R243" s="467"/>
      <c r="S243" s="297"/>
      <c r="T243" s="297"/>
      <c r="U243" s="297"/>
      <c r="V243" s="297"/>
      <c r="W243" s="467"/>
    </row>
    <row r="244" spans="1:23" ht="14" customHeight="1" x14ac:dyDescent="0.25">
      <c r="A244" s="332"/>
      <c r="B244" s="461"/>
      <c r="C244" s="686"/>
      <c r="H244" s="686"/>
      <c r="I244" s="686"/>
      <c r="J244" s="686"/>
      <c r="K244" s="686"/>
      <c r="L244" s="730" t="s">
        <v>77</v>
      </c>
      <c r="M244" s="281" t="s">
        <v>22</v>
      </c>
      <c r="N244" s="702" t="s">
        <v>299</v>
      </c>
      <c r="O244" s="703">
        <f ca="1">IF(VLOOKUP($N244,Data!$C:$H,1,TRUE)=$N244,VLOOKUP($N244,Data!$C:$H,6,TRUE),NA())</f>
        <v>0</v>
      </c>
      <c r="P244" s="703">
        <f t="shared" ca="1" si="3"/>
        <v>0</v>
      </c>
      <c r="Q244" s="466"/>
      <c r="R244" s="467"/>
      <c r="S244" s="297"/>
      <c r="T244" s="297"/>
      <c r="U244" s="297"/>
      <c r="V244" s="297"/>
      <c r="W244" s="467"/>
    </row>
    <row r="245" spans="1:23" ht="14" customHeight="1" x14ac:dyDescent="0.25">
      <c r="A245" s="332"/>
      <c r="B245" s="461"/>
      <c r="C245" s="686"/>
      <c r="H245" s="686"/>
      <c r="I245" s="686"/>
      <c r="J245" s="686"/>
      <c r="K245" s="686"/>
      <c r="L245" s="729" t="s">
        <v>77</v>
      </c>
      <c r="M245" s="281" t="s">
        <v>23</v>
      </c>
      <c r="N245" s="702" t="s">
        <v>300</v>
      </c>
      <c r="O245" s="703">
        <f ca="1">IF(VLOOKUP($N245,Data!$C:$H,1,TRUE)=$N245,VLOOKUP($N245,Data!$C:$H,6,TRUE),NA())</f>
        <v>0</v>
      </c>
      <c r="P245" s="703">
        <f t="shared" ca="1" si="3"/>
        <v>0</v>
      </c>
      <c r="Q245" s="466"/>
      <c r="R245" s="467"/>
      <c r="S245" s="297"/>
      <c r="T245" s="297"/>
      <c r="U245" s="297"/>
      <c r="V245" s="297"/>
      <c r="W245" s="467"/>
    </row>
    <row r="246" spans="1:23" ht="14" customHeight="1" x14ac:dyDescent="0.25">
      <c r="A246" s="332"/>
      <c r="B246" s="461"/>
      <c r="C246" s="686"/>
      <c r="H246" s="686"/>
      <c r="I246" s="686"/>
      <c r="J246" s="686"/>
      <c r="K246" s="686"/>
      <c r="L246" s="730" t="s">
        <v>77</v>
      </c>
      <c r="M246" s="281" t="s">
        <v>24</v>
      </c>
      <c r="N246" s="702" t="s">
        <v>301</v>
      </c>
      <c r="O246" s="703">
        <f ca="1">IF(VLOOKUP($N246,Data!$C:$H,1,TRUE)=$N246,VLOOKUP($N246,Data!$C:$H,6,TRUE),NA())</f>
        <v>0</v>
      </c>
      <c r="P246" s="703">
        <f t="shared" ca="1" si="3"/>
        <v>0</v>
      </c>
      <c r="Q246" s="466"/>
      <c r="R246" s="467"/>
      <c r="S246" s="297"/>
      <c r="T246" s="297"/>
      <c r="U246" s="297"/>
      <c r="V246" s="297"/>
      <c r="W246" s="467"/>
    </row>
    <row r="247" spans="1:23" ht="14" customHeight="1" x14ac:dyDescent="0.25">
      <c r="A247" s="332"/>
      <c r="B247" s="461"/>
      <c r="C247" s="686"/>
      <c r="H247" s="686"/>
      <c r="I247" s="686"/>
      <c r="J247" s="686"/>
      <c r="K247" s="686"/>
      <c r="L247" s="729" t="s">
        <v>77</v>
      </c>
      <c r="M247" s="281" t="s">
        <v>112</v>
      </c>
      <c r="N247" s="702" t="s">
        <v>302</v>
      </c>
      <c r="O247" s="703">
        <f ca="1">IF(VLOOKUP($N247,Data!$C:$H,1,TRUE)=$N247,VLOOKUP($N247,Data!$C:$H,6,TRUE),NA())</f>
        <v>0</v>
      </c>
      <c r="P247" s="703">
        <f t="shared" ca="1" si="3"/>
        <v>0</v>
      </c>
      <c r="Q247" s="466"/>
      <c r="R247" s="467"/>
      <c r="S247" s="297"/>
      <c r="T247" s="297"/>
      <c r="U247" s="297"/>
      <c r="V247" s="297"/>
      <c r="W247" s="467"/>
    </row>
    <row r="248" spans="1:23" ht="14" customHeight="1" x14ac:dyDescent="0.25">
      <c r="A248" s="332"/>
      <c r="B248" s="461"/>
      <c r="C248" s="686"/>
      <c r="H248" s="686"/>
      <c r="I248" s="686"/>
      <c r="J248" s="686"/>
      <c r="K248" s="686"/>
      <c r="L248" s="730" t="s">
        <v>77</v>
      </c>
      <c r="M248" s="281" t="s">
        <v>176</v>
      </c>
      <c r="N248" s="702" t="s">
        <v>303</v>
      </c>
      <c r="O248" s="703">
        <f ca="1">IF(VLOOKUP($N248,Data!$C:$H,1,TRUE)=$N248,VLOOKUP($N248,Data!$C:$H,6,TRUE),NA())</f>
        <v>0</v>
      </c>
      <c r="P248" s="703">
        <f t="shared" ca="1" si="3"/>
        <v>0</v>
      </c>
      <c r="Q248" s="466"/>
      <c r="R248" s="467"/>
      <c r="S248" s="297"/>
      <c r="T248" s="297"/>
      <c r="U248" s="297"/>
      <c r="V248" s="297"/>
      <c r="W248" s="467"/>
    </row>
    <row r="249" spans="1:23" ht="14" customHeight="1" x14ac:dyDescent="0.25">
      <c r="A249" s="332"/>
      <c r="B249" s="461"/>
      <c r="C249" s="686"/>
      <c r="H249" s="686"/>
      <c r="I249" s="686"/>
      <c r="J249" s="686"/>
      <c r="K249" s="686"/>
      <c r="L249" s="729" t="s">
        <v>77</v>
      </c>
      <c r="M249" s="281" t="s">
        <v>178</v>
      </c>
      <c r="N249" s="702" t="s">
        <v>304</v>
      </c>
      <c r="O249" s="703">
        <f ca="1">IF(VLOOKUP($N249,Data!$C:$H,1,TRUE)=$N249,VLOOKUP($N249,Data!$C:$H,6,TRUE),NA())</f>
        <v>0</v>
      </c>
      <c r="P249" s="703">
        <f t="shared" ca="1" si="3"/>
        <v>0</v>
      </c>
      <c r="Q249" s="466"/>
      <c r="R249" s="467"/>
      <c r="S249" s="297"/>
      <c r="T249" s="297"/>
      <c r="U249" s="297"/>
      <c r="V249" s="297"/>
      <c r="W249" s="467"/>
    </row>
    <row r="250" spans="1:23" ht="14" customHeight="1" x14ac:dyDescent="0.25">
      <c r="A250" s="332"/>
      <c r="B250" s="461"/>
      <c r="C250" s="686"/>
      <c r="H250" s="686"/>
      <c r="I250" s="686"/>
      <c r="J250" s="686"/>
      <c r="K250" s="686"/>
      <c r="L250" s="730" t="s">
        <v>77</v>
      </c>
      <c r="M250" s="281" t="s">
        <v>209</v>
      </c>
      <c r="N250" s="702" t="s">
        <v>305</v>
      </c>
      <c r="O250" s="703">
        <f ca="1">IF(VLOOKUP($N250,Data!$C:$H,1,TRUE)=$N250,VLOOKUP($N250,Data!$C:$H,6,TRUE),NA())</f>
        <v>0</v>
      </c>
      <c r="P250" s="703">
        <f t="shared" ca="1" si="3"/>
        <v>0</v>
      </c>
      <c r="Q250" s="466"/>
      <c r="R250" s="467"/>
      <c r="S250" s="297"/>
      <c r="T250" s="297"/>
      <c r="U250" s="297"/>
      <c r="V250" s="297"/>
      <c r="W250" s="467"/>
    </row>
    <row r="251" spans="1:23" ht="14" customHeight="1" x14ac:dyDescent="0.25">
      <c r="A251" s="332"/>
      <c r="B251" s="461"/>
      <c r="C251" s="686"/>
      <c r="H251" s="686"/>
      <c r="I251" s="686"/>
      <c r="J251" s="686"/>
      <c r="K251" s="686"/>
      <c r="L251" s="729" t="s">
        <v>77</v>
      </c>
      <c r="M251" s="281" t="s">
        <v>211</v>
      </c>
      <c r="N251" s="702" t="s">
        <v>306</v>
      </c>
      <c r="O251" s="703">
        <f ca="1">IF(VLOOKUP($N251,Data!$C:$H,1,TRUE)=$N251,VLOOKUP($N251,Data!$C:$H,6,TRUE),NA())</f>
        <v>0</v>
      </c>
      <c r="P251" s="703">
        <f t="shared" ca="1" si="3"/>
        <v>0</v>
      </c>
      <c r="Q251" s="466"/>
      <c r="R251" s="467"/>
      <c r="S251" s="297"/>
      <c r="T251" s="297"/>
      <c r="U251" s="297"/>
      <c r="V251" s="297"/>
      <c r="W251" s="467"/>
    </row>
    <row r="252" spans="1:23" ht="14" customHeight="1" x14ac:dyDescent="0.25">
      <c r="A252" s="332"/>
      <c r="B252" s="461"/>
      <c r="C252" s="686"/>
      <c r="H252" s="686"/>
      <c r="I252" s="686"/>
      <c r="J252" s="686"/>
      <c r="K252" s="686"/>
      <c r="L252" s="730" t="s">
        <v>77</v>
      </c>
      <c r="M252" s="281" t="s">
        <v>213</v>
      </c>
      <c r="N252" s="702" t="s">
        <v>307</v>
      </c>
      <c r="O252" s="703">
        <f ca="1">IF(VLOOKUP($N252,Data!$C:$H,1,TRUE)=$N252,VLOOKUP($N252,Data!$C:$H,6,TRUE),NA())</f>
        <v>0</v>
      </c>
      <c r="P252" s="703">
        <f t="shared" ca="1" si="3"/>
        <v>0</v>
      </c>
      <c r="Q252" s="466"/>
      <c r="R252" s="467"/>
      <c r="S252" s="297"/>
      <c r="T252" s="297"/>
      <c r="U252" s="297"/>
      <c r="V252" s="297"/>
      <c r="W252" s="467"/>
    </row>
    <row r="253" spans="1:23" ht="14" customHeight="1" x14ac:dyDescent="0.25">
      <c r="A253" s="332"/>
      <c r="B253" s="461"/>
      <c r="C253" s="686"/>
      <c r="H253" s="686"/>
      <c r="I253" s="686"/>
      <c r="J253" s="686"/>
      <c r="K253" s="686"/>
      <c r="L253" s="729" t="s">
        <v>77</v>
      </c>
      <c r="M253" s="281" t="s">
        <v>215</v>
      </c>
      <c r="N253" s="702" t="s">
        <v>308</v>
      </c>
      <c r="O253" s="703">
        <f ca="1">IF(VLOOKUP($N253,Data!$C:$H,1,TRUE)=$N253,VLOOKUP($N253,Data!$C:$H,6,TRUE),NA())</f>
        <v>0</v>
      </c>
      <c r="P253" s="703">
        <f t="shared" ca="1" si="3"/>
        <v>0</v>
      </c>
      <c r="Q253" s="466"/>
      <c r="R253" s="467"/>
      <c r="S253" s="297"/>
      <c r="T253" s="297"/>
      <c r="U253" s="297"/>
      <c r="V253" s="297"/>
      <c r="W253" s="467"/>
    </row>
    <row r="254" spans="1:23" ht="14" customHeight="1" x14ac:dyDescent="0.25">
      <c r="A254" s="332"/>
      <c r="B254" s="461"/>
      <c r="C254" s="686"/>
      <c r="H254" s="686"/>
      <c r="I254" s="686"/>
      <c r="J254" s="686"/>
      <c r="K254" s="686"/>
      <c r="L254" s="730" t="s">
        <v>77</v>
      </c>
      <c r="M254" s="281" t="s">
        <v>217</v>
      </c>
      <c r="N254" s="702" t="s">
        <v>309</v>
      </c>
      <c r="O254" s="703">
        <f ca="1">IF(VLOOKUP($N254,Data!$C:$H,1,TRUE)=$N254,VLOOKUP($N254,Data!$C:$H,6,TRUE),NA())</f>
        <v>0</v>
      </c>
      <c r="P254" s="703">
        <f t="shared" ca="1" si="3"/>
        <v>0</v>
      </c>
      <c r="Q254" s="466"/>
      <c r="R254" s="467"/>
      <c r="S254" s="297"/>
      <c r="T254" s="297"/>
      <c r="U254" s="297"/>
      <c r="V254" s="297"/>
      <c r="W254" s="467"/>
    </row>
    <row r="255" spans="1:23" ht="14" customHeight="1" x14ac:dyDescent="0.25">
      <c r="A255" s="332"/>
      <c r="B255" s="461"/>
      <c r="C255" s="686"/>
      <c r="H255" s="686"/>
      <c r="I255" s="686"/>
      <c r="J255" s="686"/>
      <c r="K255" s="686"/>
      <c r="L255" s="729" t="s">
        <v>77</v>
      </c>
      <c r="M255" s="281" t="s">
        <v>311</v>
      </c>
      <c r="N255" s="702" t="s">
        <v>310</v>
      </c>
      <c r="O255" s="703">
        <f ca="1">IF(VLOOKUP($N255,Data!$C:$H,1,TRUE)=$N255,VLOOKUP($N255,Data!$C:$H,6,TRUE),NA())</f>
        <v>0</v>
      </c>
      <c r="P255" s="703">
        <f t="shared" ca="1" si="3"/>
        <v>0</v>
      </c>
      <c r="Q255" s="466"/>
      <c r="R255" s="467"/>
      <c r="S255" s="297"/>
      <c r="T255" s="297"/>
      <c r="U255" s="297"/>
      <c r="V255" s="297"/>
      <c r="W255" s="467"/>
    </row>
    <row r="256" spans="1:23" ht="14" customHeight="1" x14ac:dyDescent="0.25">
      <c r="A256" s="332"/>
      <c r="B256" s="461"/>
      <c r="C256" s="686"/>
      <c r="H256" s="686"/>
      <c r="I256" s="686"/>
      <c r="J256" s="686"/>
      <c r="K256" s="686"/>
      <c r="L256" s="730" t="s">
        <v>77</v>
      </c>
      <c r="M256" s="281" t="s">
        <v>25</v>
      </c>
      <c r="N256" s="702" t="s">
        <v>312</v>
      </c>
      <c r="O256" s="703">
        <f ca="1">IF(VLOOKUP($N256,Data!$C:$H,1,TRUE)=$N256,VLOOKUP($N256,Data!$C:$H,6,TRUE),NA())</f>
        <v>0</v>
      </c>
      <c r="P256" s="703">
        <f t="shared" ca="1" si="3"/>
        <v>0</v>
      </c>
      <c r="Q256" s="466"/>
      <c r="R256" s="467"/>
      <c r="S256" s="297"/>
      <c r="T256" s="297"/>
      <c r="U256" s="297"/>
      <c r="V256" s="297"/>
      <c r="W256" s="467"/>
    </row>
    <row r="257" spans="1:23" ht="14" customHeight="1" x14ac:dyDescent="0.25">
      <c r="A257" s="332"/>
      <c r="B257" s="461"/>
      <c r="C257" s="686"/>
      <c r="H257" s="686"/>
      <c r="I257" s="686"/>
      <c r="J257" s="686"/>
      <c r="K257" s="686"/>
      <c r="L257" s="729" t="s">
        <v>77</v>
      </c>
      <c r="M257" s="281" t="s">
        <v>26</v>
      </c>
      <c r="N257" s="702" t="s">
        <v>313</v>
      </c>
      <c r="O257" s="703">
        <f ca="1">IF(VLOOKUP($N257,Data!$C:$H,1,TRUE)=$N257,VLOOKUP($N257,Data!$C:$H,6,TRUE),NA())</f>
        <v>0</v>
      </c>
      <c r="P257" s="703">
        <f t="shared" ca="1" si="3"/>
        <v>0</v>
      </c>
      <c r="Q257" s="466"/>
      <c r="R257" s="467"/>
      <c r="S257" s="297"/>
      <c r="T257" s="297"/>
      <c r="U257" s="297"/>
      <c r="V257" s="297"/>
      <c r="W257" s="467"/>
    </row>
    <row r="258" spans="1:23" ht="14" customHeight="1" x14ac:dyDescent="0.25">
      <c r="A258" s="332"/>
      <c r="B258" s="461"/>
      <c r="C258" s="686"/>
      <c r="H258" s="686"/>
      <c r="I258" s="686"/>
      <c r="J258" s="686"/>
      <c r="K258" s="686"/>
      <c r="L258" s="730" t="s">
        <v>77</v>
      </c>
      <c r="M258" s="281" t="s">
        <v>27</v>
      </c>
      <c r="N258" s="702" t="s">
        <v>314</v>
      </c>
      <c r="O258" s="703">
        <f ca="1">IF(VLOOKUP($N258,Data!$C:$H,1,TRUE)=$N258,VLOOKUP($N258,Data!$C:$H,6,TRUE),NA())</f>
        <v>0</v>
      </c>
      <c r="P258" s="703">
        <f t="shared" ca="1" si="3"/>
        <v>0</v>
      </c>
      <c r="Q258" s="466"/>
      <c r="R258" s="467"/>
      <c r="S258" s="297"/>
      <c r="T258" s="297"/>
      <c r="U258" s="297"/>
      <c r="V258" s="297"/>
      <c r="W258" s="467"/>
    </row>
    <row r="259" spans="1:23" ht="14" customHeight="1" x14ac:dyDescent="0.25">
      <c r="A259" s="332"/>
      <c r="B259" s="461"/>
      <c r="C259" s="686"/>
      <c r="H259" s="686"/>
      <c r="I259" s="686"/>
      <c r="J259" s="686"/>
      <c r="K259" s="686"/>
      <c r="L259" s="729" t="s">
        <v>77</v>
      </c>
      <c r="M259" s="281" t="s">
        <v>28</v>
      </c>
      <c r="N259" s="702" t="s">
        <v>315</v>
      </c>
      <c r="O259" s="703">
        <f ca="1">IF(VLOOKUP($N259,Data!$C:$H,1,TRUE)=$N259,VLOOKUP($N259,Data!$C:$H,6,TRUE),NA())</f>
        <v>0</v>
      </c>
      <c r="P259" s="703">
        <f t="shared" ca="1" si="3"/>
        <v>0</v>
      </c>
      <c r="Q259" s="466"/>
      <c r="R259" s="467"/>
      <c r="S259" s="297"/>
      <c r="T259" s="297"/>
      <c r="U259" s="297"/>
      <c r="V259" s="297"/>
      <c r="W259" s="467"/>
    </row>
    <row r="260" spans="1:23" ht="14" customHeight="1" x14ac:dyDescent="0.25">
      <c r="A260" s="332"/>
      <c r="B260" s="461"/>
      <c r="C260" s="686"/>
      <c r="H260" s="686"/>
      <c r="I260" s="686"/>
      <c r="J260" s="686"/>
      <c r="K260" s="686"/>
      <c r="L260" s="730" t="s">
        <v>77</v>
      </c>
      <c r="M260" s="281" t="s">
        <v>29</v>
      </c>
      <c r="N260" s="702" t="s">
        <v>316</v>
      </c>
      <c r="O260" s="703">
        <f ca="1">IF(VLOOKUP($N260,Data!$C:$H,1,TRUE)=$N260,VLOOKUP($N260,Data!$C:$H,6,TRUE),NA())</f>
        <v>0</v>
      </c>
      <c r="P260" s="703">
        <f t="shared" ca="1" si="3"/>
        <v>0</v>
      </c>
      <c r="Q260" s="466"/>
      <c r="R260" s="467"/>
      <c r="S260" s="297"/>
      <c r="T260" s="297"/>
      <c r="U260" s="297"/>
      <c r="V260" s="297"/>
      <c r="W260" s="467"/>
    </row>
    <row r="261" spans="1:23" ht="14" customHeight="1" x14ac:dyDescent="0.25">
      <c r="A261" s="332"/>
      <c r="B261" s="461"/>
      <c r="C261" s="686"/>
      <c r="H261" s="686"/>
      <c r="I261" s="686"/>
      <c r="J261" s="686"/>
      <c r="K261" s="686"/>
      <c r="L261" s="729" t="s">
        <v>77</v>
      </c>
      <c r="M261" s="281" t="s">
        <v>30</v>
      </c>
      <c r="N261" s="702" t="s">
        <v>317</v>
      </c>
      <c r="O261" s="703">
        <f ca="1">IF(VLOOKUP($N261,Data!$C:$H,1,TRUE)=$N261,VLOOKUP($N261,Data!$C:$H,6,TRUE),NA())</f>
        <v>0</v>
      </c>
      <c r="P261" s="703">
        <f t="shared" ca="1" si="3"/>
        <v>0</v>
      </c>
      <c r="Q261" s="466"/>
      <c r="R261" s="467"/>
      <c r="S261" s="297"/>
      <c r="T261" s="297"/>
      <c r="U261" s="297"/>
      <c r="V261" s="297"/>
      <c r="W261" s="467"/>
    </row>
    <row r="262" spans="1:23" ht="14" customHeight="1" x14ac:dyDescent="0.25">
      <c r="A262" s="332"/>
      <c r="B262" s="461"/>
      <c r="C262" s="686"/>
      <c r="H262" s="686"/>
      <c r="I262" s="686"/>
      <c r="J262" s="686"/>
      <c r="K262" s="686"/>
      <c r="L262" s="730" t="s">
        <v>77</v>
      </c>
      <c r="M262" s="281" t="s">
        <v>31</v>
      </c>
      <c r="N262" s="702" t="s">
        <v>318</v>
      </c>
      <c r="O262" s="703">
        <f ca="1">IF(VLOOKUP($N262,Data!$C:$H,1,TRUE)=$N262,VLOOKUP($N262,Data!$C:$H,6,TRUE),NA())</f>
        <v>0</v>
      </c>
      <c r="P262" s="703">
        <f t="shared" ca="1" si="3"/>
        <v>0</v>
      </c>
      <c r="Q262" s="466"/>
      <c r="R262" s="467"/>
      <c r="S262" s="297"/>
      <c r="T262" s="297"/>
      <c r="U262" s="297"/>
      <c r="V262" s="297"/>
      <c r="W262" s="467"/>
    </row>
    <row r="263" spans="1:23" ht="14" customHeight="1" x14ac:dyDescent="0.25">
      <c r="A263" s="332"/>
      <c r="B263" s="461"/>
      <c r="C263" s="686"/>
      <c r="H263" s="686"/>
      <c r="I263" s="686"/>
      <c r="J263" s="686"/>
      <c r="K263" s="686"/>
      <c r="L263" s="729" t="s">
        <v>80</v>
      </c>
      <c r="M263" s="281" t="s">
        <v>7</v>
      </c>
      <c r="N263" s="702" t="s">
        <v>319</v>
      </c>
      <c r="O263" s="703">
        <f ca="1">IF(VLOOKUP($N263,Data!$C:$H,1,TRUE)=$N263,VLOOKUP($N263,Data!$C:$H,6,TRUE),NA())</f>
        <v>0</v>
      </c>
      <c r="P263" s="703">
        <f t="shared" ca="1" si="3"/>
        <v>0</v>
      </c>
      <c r="Q263" s="466"/>
      <c r="R263" s="467"/>
      <c r="S263" s="297"/>
      <c r="T263" s="297"/>
      <c r="U263" s="297"/>
      <c r="V263" s="297"/>
      <c r="W263" s="467"/>
    </row>
    <row r="264" spans="1:23" ht="14" customHeight="1" x14ac:dyDescent="0.25">
      <c r="A264" s="332"/>
      <c r="B264" s="461"/>
      <c r="C264" s="686"/>
      <c r="H264" s="686"/>
      <c r="I264" s="686"/>
      <c r="J264" s="686"/>
      <c r="K264" s="686"/>
      <c r="L264" s="729" t="s">
        <v>80</v>
      </c>
      <c r="M264" s="281" t="s">
        <v>9</v>
      </c>
      <c r="N264" s="702" t="s">
        <v>320</v>
      </c>
      <c r="O264" s="703">
        <f ca="1">IF(VLOOKUP($N264,Data!$C:$H,1,TRUE)=$N264,VLOOKUP($N264,Data!$C:$H,6,TRUE),NA())</f>
        <v>0</v>
      </c>
      <c r="P264" s="703">
        <f t="shared" ca="1" si="3"/>
        <v>0</v>
      </c>
      <c r="Q264" s="466"/>
      <c r="R264" s="467"/>
      <c r="S264" s="297"/>
      <c r="T264" s="297"/>
      <c r="U264" s="297"/>
      <c r="V264" s="297"/>
      <c r="W264" s="467"/>
    </row>
    <row r="265" spans="1:23" ht="14" customHeight="1" x14ac:dyDescent="0.25">
      <c r="A265" s="332"/>
      <c r="B265" s="461"/>
      <c r="C265" s="686"/>
      <c r="H265" s="686"/>
      <c r="I265" s="686"/>
      <c r="J265" s="686"/>
      <c r="K265" s="686"/>
      <c r="L265" s="729" t="s">
        <v>80</v>
      </c>
      <c r="M265" s="281" t="s">
        <v>10</v>
      </c>
      <c r="N265" s="702" t="s">
        <v>321</v>
      </c>
      <c r="O265" s="703">
        <f ca="1">IF(VLOOKUP($N265,Data!$C:$H,1,TRUE)=$N265,VLOOKUP($N265,Data!$C:$H,6,TRUE),NA())</f>
        <v>0</v>
      </c>
      <c r="P265" s="703">
        <f t="shared" ca="1" si="3"/>
        <v>0</v>
      </c>
      <c r="Q265" s="466"/>
      <c r="R265" s="467"/>
      <c r="S265" s="297"/>
      <c r="T265" s="297"/>
      <c r="U265" s="297"/>
      <c r="V265" s="297"/>
      <c r="W265" s="467"/>
    </row>
    <row r="266" spans="1:23" ht="14" customHeight="1" x14ac:dyDescent="0.25">
      <c r="A266" s="332"/>
      <c r="B266" s="461"/>
      <c r="C266" s="686"/>
      <c r="H266" s="686"/>
      <c r="I266" s="686"/>
      <c r="J266" s="686"/>
      <c r="K266" s="686"/>
      <c r="L266" s="729" t="s">
        <v>80</v>
      </c>
      <c r="M266" s="281" t="s">
        <v>11</v>
      </c>
      <c r="N266" s="702" t="s">
        <v>322</v>
      </c>
      <c r="O266" s="703">
        <f ca="1">IF(VLOOKUP($N266,Data!$C:$H,1,TRUE)=$N266,VLOOKUP($N266,Data!$C:$H,6,TRUE),NA())</f>
        <v>0</v>
      </c>
      <c r="P266" s="703">
        <f t="shared" ref="P266:P329" ca="1" si="4">VLOOKUP($M266, INDIRECT("'"&amp;$L266&amp;"'!"&amp;"$D:$J"), 7,FALSE)</f>
        <v>0</v>
      </c>
      <c r="Q266" s="466"/>
      <c r="R266" s="467"/>
      <c r="S266" s="297"/>
      <c r="T266" s="297"/>
      <c r="U266" s="297"/>
      <c r="V266" s="297"/>
      <c r="W266" s="467"/>
    </row>
    <row r="267" spans="1:23" ht="14" customHeight="1" x14ac:dyDescent="0.25">
      <c r="A267" s="332"/>
      <c r="B267" s="461"/>
      <c r="C267" s="686"/>
      <c r="H267" s="686"/>
      <c r="I267" s="686"/>
      <c r="J267" s="686"/>
      <c r="K267" s="686"/>
      <c r="L267" s="729" t="s">
        <v>80</v>
      </c>
      <c r="M267" s="281" t="s">
        <v>12</v>
      </c>
      <c r="N267" s="702" t="s">
        <v>323</v>
      </c>
      <c r="O267" s="703">
        <f ca="1">IF(VLOOKUP($N267,Data!$C:$H,1,TRUE)=$N267,VLOOKUP($N267,Data!$C:$H,6,TRUE),NA())</f>
        <v>0</v>
      </c>
      <c r="P267" s="703">
        <f t="shared" ca="1" si="4"/>
        <v>0</v>
      </c>
      <c r="Q267" s="466"/>
      <c r="R267" s="467"/>
      <c r="S267" s="297"/>
      <c r="T267" s="297"/>
      <c r="U267" s="297"/>
      <c r="V267" s="297"/>
      <c r="W267" s="467"/>
    </row>
    <row r="268" spans="1:23" ht="14" customHeight="1" x14ac:dyDescent="0.25">
      <c r="A268" s="332"/>
      <c r="B268" s="461"/>
      <c r="C268" s="686"/>
      <c r="H268" s="686"/>
      <c r="I268" s="686"/>
      <c r="J268" s="686"/>
      <c r="K268" s="686"/>
      <c r="L268" s="729" t="s">
        <v>80</v>
      </c>
      <c r="M268" s="281" t="s">
        <v>13</v>
      </c>
      <c r="N268" s="702" t="s">
        <v>324</v>
      </c>
      <c r="O268" s="703">
        <f ca="1">IF(VLOOKUP($N268,Data!$C:$H,1,TRUE)=$N268,VLOOKUP($N268,Data!$C:$H,6,TRUE),NA())</f>
        <v>0</v>
      </c>
      <c r="P268" s="703">
        <f t="shared" ca="1" si="4"/>
        <v>0</v>
      </c>
      <c r="Q268" s="466"/>
      <c r="R268" s="467"/>
      <c r="S268" s="297"/>
      <c r="T268" s="297"/>
      <c r="U268" s="297"/>
      <c r="V268" s="297"/>
      <c r="W268" s="467"/>
    </row>
    <row r="269" spans="1:23" ht="14" customHeight="1" x14ac:dyDescent="0.25">
      <c r="A269" s="332"/>
      <c r="B269" s="461"/>
      <c r="C269" s="686"/>
      <c r="H269" s="686"/>
      <c r="I269" s="686"/>
      <c r="J269" s="686"/>
      <c r="K269" s="686"/>
      <c r="L269" s="729" t="s">
        <v>80</v>
      </c>
      <c r="M269" s="281" t="s">
        <v>20</v>
      </c>
      <c r="N269" s="702" t="s">
        <v>325</v>
      </c>
      <c r="O269" s="703">
        <f ca="1">IF(VLOOKUP($N269,Data!$C:$H,1,TRUE)=$N269,VLOOKUP($N269,Data!$C:$H,6,TRUE),NA())</f>
        <v>0</v>
      </c>
      <c r="P269" s="703">
        <f t="shared" ca="1" si="4"/>
        <v>0</v>
      </c>
      <c r="Q269" s="466"/>
      <c r="R269" s="467"/>
      <c r="S269" s="297"/>
      <c r="T269" s="297"/>
      <c r="U269" s="297"/>
      <c r="V269" s="297"/>
      <c r="W269" s="467"/>
    </row>
    <row r="270" spans="1:23" ht="14" customHeight="1" x14ac:dyDescent="0.25">
      <c r="A270" s="332"/>
      <c r="B270" s="461"/>
      <c r="C270" s="686"/>
      <c r="H270" s="686"/>
      <c r="I270" s="686"/>
      <c r="J270" s="686"/>
      <c r="K270" s="686"/>
      <c r="L270" s="729" t="s">
        <v>80</v>
      </c>
      <c r="M270" s="281" t="s">
        <v>21</v>
      </c>
      <c r="N270" s="702" t="s">
        <v>326</v>
      </c>
      <c r="O270" s="703">
        <f ca="1">IF(VLOOKUP($N270,Data!$C:$H,1,TRUE)=$N270,VLOOKUP($N270,Data!$C:$H,6,TRUE),NA())</f>
        <v>0</v>
      </c>
      <c r="P270" s="703">
        <f t="shared" ca="1" si="4"/>
        <v>0</v>
      </c>
      <c r="Q270" s="466"/>
      <c r="R270" s="467"/>
      <c r="S270" s="297"/>
      <c r="T270" s="297"/>
      <c r="U270" s="297"/>
      <c r="V270" s="297"/>
      <c r="W270" s="467"/>
    </row>
    <row r="271" spans="1:23" ht="14" customHeight="1" x14ac:dyDescent="0.25">
      <c r="A271" s="332"/>
      <c r="B271" s="461"/>
      <c r="C271" s="686"/>
      <c r="H271" s="686"/>
      <c r="I271" s="686"/>
      <c r="J271" s="686"/>
      <c r="K271" s="686"/>
      <c r="L271" s="729" t="s">
        <v>80</v>
      </c>
      <c r="M271" s="281" t="s">
        <v>22</v>
      </c>
      <c r="N271" s="702" t="s">
        <v>327</v>
      </c>
      <c r="O271" s="703">
        <f ca="1">IF(VLOOKUP($N271,Data!$C:$H,1,TRUE)=$N271,VLOOKUP($N271,Data!$C:$H,6,TRUE),NA())</f>
        <v>0</v>
      </c>
      <c r="P271" s="703">
        <f t="shared" ca="1" si="4"/>
        <v>0</v>
      </c>
      <c r="Q271" s="466"/>
      <c r="R271" s="467"/>
      <c r="S271" s="297"/>
      <c r="T271" s="297"/>
      <c r="U271" s="297"/>
      <c r="V271" s="297"/>
      <c r="W271" s="467"/>
    </row>
    <row r="272" spans="1:23" ht="14" customHeight="1" x14ac:dyDescent="0.25">
      <c r="A272" s="332"/>
      <c r="B272" s="461"/>
      <c r="C272" s="686"/>
      <c r="H272" s="686"/>
      <c r="I272" s="686"/>
      <c r="J272" s="686"/>
      <c r="K272" s="686"/>
      <c r="L272" s="729" t="s">
        <v>80</v>
      </c>
      <c r="M272" s="281" t="s">
        <v>23</v>
      </c>
      <c r="N272" s="702" t="s">
        <v>328</v>
      </c>
      <c r="O272" s="703">
        <f ca="1">IF(VLOOKUP($N272,Data!$C:$H,1,TRUE)=$N272,VLOOKUP($N272,Data!$C:$H,6,TRUE),NA())</f>
        <v>0</v>
      </c>
      <c r="P272" s="703">
        <f t="shared" ca="1" si="4"/>
        <v>0</v>
      </c>
      <c r="Q272" s="466"/>
      <c r="R272" s="467"/>
      <c r="S272" s="297"/>
      <c r="T272" s="297"/>
      <c r="U272" s="297"/>
      <c r="V272" s="297"/>
      <c r="W272" s="467"/>
    </row>
    <row r="273" spans="1:23" ht="14" customHeight="1" x14ac:dyDescent="0.25">
      <c r="A273" s="332"/>
      <c r="B273" s="461"/>
      <c r="C273" s="686"/>
      <c r="H273" s="686"/>
      <c r="I273" s="686"/>
      <c r="J273" s="686"/>
      <c r="K273" s="686"/>
      <c r="L273" s="729" t="s">
        <v>80</v>
      </c>
      <c r="M273" s="281" t="s">
        <v>24</v>
      </c>
      <c r="N273" s="702" t="s">
        <v>329</v>
      </c>
      <c r="O273" s="703">
        <f ca="1">IF(VLOOKUP($N273,Data!$C:$H,1,TRUE)=$N273,VLOOKUP($N273,Data!$C:$H,6,TRUE),NA())</f>
        <v>0</v>
      </c>
      <c r="P273" s="703">
        <f t="shared" ca="1" si="4"/>
        <v>0</v>
      </c>
      <c r="Q273" s="466"/>
      <c r="R273" s="467"/>
      <c r="S273" s="297"/>
      <c r="T273" s="297"/>
      <c r="U273" s="297"/>
      <c r="V273" s="297"/>
      <c r="W273" s="467"/>
    </row>
    <row r="274" spans="1:23" ht="14" customHeight="1" x14ac:dyDescent="0.25">
      <c r="A274" s="332"/>
      <c r="B274" s="461"/>
      <c r="C274" s="686"/>
      <c r="H274" s="686"/>
      <c r="I274" s="686"/>
      <c r="J274" s="686"/>
      <c r="K274" s="686"/>
      <c r="L274" s="729" t="s">
        <v>80</v>
      </c>
      <c r="M274" s="281" t="s">
        <v>112</v>
      </c>
      <c r="N274" s="702" t="s">
        <v>330</v>
      </c>
      <c r="O274" s="703">
        <f ca="1">IF(VLOOKUP($N274,Data!$C:$H,1,TRUE)=$N274,VLOOKUP($N274,Data!$C:$H,6,TRUE),NA())</f>
        <v>0</v>
      </c>
      <c r="P274" s="703">
        <f t="shared" ca="1" si="4"/>
        <v>0</v>
      </c>
      <c r="Q274" s="466"/>
      <c r="R274" s="467"/>
      <c r="S274" s="297"/>
      <c r="T274" s="297"/>
      <c r="U274" s="297"/>
      <c r="V274" s="297"/>
      <c r="W274" s="467"/>
    </row>
    <row r="275" spans="1:23" ht="14" customHeight="1" x14ac:dyDescent="0.25">
      <c r="A275" s="332"/>
      <c r="B275" s="461"/>
      <c r="C275" s="686"/>
      <c r="H275" s="686"/>
      <c r="I275" s="686"/>
      <c r="J275" s="686"/>
      <c r="K275" s="686"/>
      <c r="L275" s="729" t="s">
        <v>80</v>
      </c>
      <c r="M275" s="281" t="s">
        <v>25</v>
      </c>
      <c r="N275" s="702" t="s">
        <v>331</v>
      </c>
      <c r="O275" s="703">
        <f ca="1">IF(VLOOKUP($N275,Data!$C:$H,1,TRUE)=$N275,VLOOKUP($N275,Data!$C:$H,6,TRUE),NA())</f>
        <v>0</v>
      </c>
      <c r="P275" s="703">
        <f t="shared" ca="1" si="4"/>
        <v>0</v>
      </c>
      <c r="Q275" s="466"/>
      <c r="R275" s="467"/>
      <c r="S275" s="297"/>
      <c r="T275" s="297"/>
      <c r="U275" s="297"/>
      <c r="V275" s="297"/>
      <c r="W275" s="467"/>
    </row>
    <row r="276" spans="1:23" ht="14" customHeight="1" x14ac:dyDescent="0.25">
      <c r="A276" s="332"/>
      <c r="B276" s="461"/>
      <c r="C276" s="686"/>
      <c r="H276" s="686"/>
      <c r="I276" s="686"/>
      <c r="J276" s="686"/>
      <c r="K276" s="686"/>
      <c r="L276" s="729" t="s">
        <v>80</v>
      </c>
      <c r="M276" s="281" t="s">
        <v>26</v>
      </c>
      <c r="N276" s="702" t="s">
        <v>332</v>
      </c>
      <c r="O276" s="703">
        <f ca="1">IF(VLOOKUP($N276,Data!$C:$H,1,TRUE)=$N276,VLOOKUP($N276,Data!$C:$H,6,TRUE),NA())</f>
        <v>0</v>
      </c>
      <c r="P276" s="703">
        <f t="shared" ca="1" si="4"/>
        <v>0</v>
      </c>
      <c r="Q276" s="466"/>
      <c r="R276" s="467"/>
      <c r="S276" s="297"/>
      <c r="T276" s="297"/>
      <c r="U276" s="297"/>
      <c r="V276" s="297"/>
      <c r="W276" s="467"/>
    </row>
    <row r="277" spans="1:23" ht="14" customHeight="1" x14ac:dyDescent="0.25">
      <c r="A277" s="332"/>
      <c r="B277" s="461"/>
      <c r="C277" s="686"/>
      <c r="H277" s="686"/>
      <c r="I277" s="686"/>
      <c r="J277" s="686"/>
      <c r="K277" s="686"/>
      <c r="L277" s="729" t="s">
        <v>80</v>
      </c>
      <c r="M277" s="281" t="s">
        <v>27</v>
      </c>
      <c r="N277" s="702" t="s">
        <v>333</v>
      </c>
      <c r="O277" s="703">
        <f ca="1">IF(VLOOKUP($N277,Data!$C:$H,1,TRUE)=$N277,VLOOKUP($N277,Data!$C:$H,6,TRUE),NA())</f>
        <v>0</v>
      </c>
      <c r="P277" s="703">
        <f t="shared" ca="1" si="4"/>
        <v>0</v>
      </c>
      <c r="Q277" s="466"/>
      <c r="R277" s="467"/>
      <c r="S277" s="297"/>
      <c r="T277" s="297"/>
      <c r="U277" s="297"/>
      <c r="V277" s="297"/>
      <c r="W277" s="467"/>
    </row>
    <row r="278" spans="1:23" ht="14" customHeight="1" x14ac:dyDescent="0.25">
      <c r="A278" s="332"/>
      <c r="B278" s="461"/>
      <c r="C278" s="686"/>
      <c r="H278" s="686"/>
      <c r="I278" s="686"/>
      <c r="J278" s="686"/>
      <c r="K278" s="686"/>
      <c r="L278" s="729" t="s">
        <v>80</v>
      </c>
      <c r="M278" s="281" t="s">
        <v>28</v>
      </c>
      <c r="N278" s="702" t="s">
        <v>334</v>
      </c>
      <c r="O278" s="703">
        <f ca="1">IF(VLOOKUP($N278,Data!$C:$H,1,TRUE)=$N278,VLOOKUP($N278,Data!$C:$H,6,TRUE),NA())</f>
        <v>0</v>
      </c>
      <c r="P278" s="703">
        <f t="shared" ca="1" si="4"/>
        <v>0</v>
      </c>
      <c r="Q278" s="466"/>
      <c r="R278" s="467"/>
      <c r="S278" s="297"/>
      <c r="T278" s="297"/>
      <c r="U278" s="297"/>
      <c r="V278" s="297"/>
      <c r="W278" s="467"/>
    </row>
    <row r="279" spans="1:23" ht="14" customHeight="1" x14ac:dyDescent="0.25">
      <c r="A279" s="332"/>
      <c r="B279" s="461"/>
      <c r="C279" s="686"/>
      <c r="H279" s="686"/>
      <c r="I279" s="686"/>
      <c r="J279" s="686"/>
      <c r="K279" s="686"/>
      <c r="L279" s="729" t="s">
        <v>80</v>
      </c>
      <c r="M279" s="281" t="s">
        <v>29</v>
      </c>
      <c r="N279" s="702" t="s">
        <v>335</v>
      </c>
      <c r="O279" s="703">
        <f ca="1">IF(VLOOKUP($N279,Data!$C:$H,1,TRUE)=$N279,VLOOKUP($N279,Data!$C:$H,6,TRUE),NA())</f>
        <v>0</v>
      </c>
      <c r="P279" s="703">
        <f t="shared" ca="1" si="4"/>
        <v>0</v>
      </c>
      <c r="Q279" s="466"/>
      <c r="R279" s="467"/>
      <c r="S279" s="297"/>
      <c r="T279" s="297"/>
      <c r="U279" s="297"/>
      <c r="V279" s="297"/>
      <c r="W279" s="467"/>
    </row>
    <row r="280" spans="1:23" ht="14" customHeight="1" x14ac:dyDescent="0.25">
      <c r="A280" s="332"/>
      <c r="B280" s="461"/>
      <c r="C280" s="686"/>
      <c r="H280" s="686"/>
      <c r="I280" s="686"/>
      <c r="J280" s="686"/>
      <c r="K280" s="686"/>
      <c r="L280" s="729" t="s">
        <v>80</v>
      </c>
      <c r="M280" s="281" t="s">
        <v>30</v>
      </c>
      <c r="N280" s="702" t="s">
        <v>336</v>
      </c>
      <c r="O280" s="703">
        <f ca="1">IF(VLOOKUP($N280,Data!$C:$H,1,TRUE)=$N280,VLOOKUP($N280,Data!$C:$H,6,TRUE),NA())</f>
        <v>0</v>
      </c>
      <c r="P280" s="703">
        <f t="shared" ca="1" si="4"/>
        <v>0</v>
      </c>
      <c r="Q280" s="466"/>
      <c r="R280" s="467"/>
      <c r="S280" s="297"/>
      <c r="T280" s="297"/>
      <c r="U280" s="297"/>
      <c r="V280" s="297"/>
      <c r="W280" s="467"/>
    </row>
    <row r="281" spans="1:23" ht="14" customHeight="1" x14ac:dyDescent="0.25">
      <c r="A281" s="332"/>
      <c r="B281" s="461"/>
      <c r="C281" s="686"/>
      <c r="H281" s="686"/>
      <c r="I281" s="686"/>
      <c r="J281" s="686"/>
      <c r="K281" s="686"/>
      <c r="L281" s="729" t="s">
        <v>80</v>
      </c>
      <c r="M281" s="281" t="s">
        <v>126</v>
      </c>
      <c r="N281" s="702" t="s">
        <v>337</v>
      </c>
      <c r="O281" s="703">
        <f ca="1">IF(VLOOKUP($N281,Data!$C:$H,1,TRUE)=$N281,VLOOKUP($N281,Data!$C:$H,6,TRUE),NA())</f>
        <v>0</v>
      </c>
      <c r="P281" s="703">
        <f t="shared" ca="1" si="4"/>
        <v>0</v>
      </c>
      <c r="Q281" s="466"/>
      <c r="R281" s="467"/>
      <c r="S281" s="297"/>
      <c r="T281" s="297"/>
      <c r="U281" s="297"/>
      <c r="V281" s="297"/>
      <c r="W281" s="467"/>
    </row>
    <row r="282" spans="1:23" ht="14" customHeight="1" x14ac:dyDescent="0.25">
      <c r="A282" s="332"/>
      <c r="B282" s="461"/>
      <c r="C282" s="686"/>
      <c r="H282" s="686"/>
      <c r="I282" s="686"/>
      <c r="J282" s="686"/>
      <c r="K282" s="686"/>
      <c r="L282" s="729" t="s">
        <v>80</v>
      </c>
      <c r="M282" s="281" t="s">
        <v>129</v>
      </c>
      <c r="N282" s="702" t="s">
        <v>338</v>
      </c>
      <c r="O282" s="703">
        <f ca="1">IF(VLOOKUP($N282,Data!$C:$H,1,TRUE)=$N282,VLOOKUP($N282,Data!$C:$H,6,TRUE),NA())</f>
        <v>0</v>
      </c>
      <c r="P282" s="703">
        <f t="shared" ca="1" si="4"/>
        <v>0</v>
      </c>
      <c r="Q282" s="466"/>
      <c r="R282" s="467"/>
      <c r="S282" s="297"/>
      <c r="T282" s="297"/>
      <c r="U282" s="297"/>
      <c r="V282" s="297"/>
      <c r="W282" s="467"/>
    </row>
    <row r="283" spans="1:23" ht="14" customHeight="1" x14ac:dyDescent="0.25">
      <c r="A283" s="332"/>
      <c r="B283" s="461"/>
      <c r="C283" s="686"/>
      <c r="H283" s="686"/>
      <c r="I283" s="686"/>
      <c r="J283" s="686"/>
      <c r="K283" s="686"/>
      <c r="L283" s="729" t="s">
        <v>80</v>
      </c>
      <c r="M283" s="281" t="s">
        <v>132</v>
      </c>
      <c r="N283" s="702" t="s">
        <v>339</v>
      </c>
      <c r="O283" s="703">
        <f ca="1">IF(VLOOKUP($N283,Data!$C:$H,1,TRUE)=$N283,VLOOKUP($N283,Data!$C:$H,6,TRUE),NA())</f>
        <v>0</v>
      </c>
      <c r="P283" s="703">
        <f t="shared" ca="1" si="4"/>
        <v>0</v>
      </c>
      <c r="Q283" s="466"/>
      <c r="R283" s="467"/>
      <c r="S283" s="297"/>
      <c r="T283" s="297"/>
      <c r="U283" s="297"/>
      <c r="V283" s="297"/>
      <c r="W283" s="467"/>
    </row>
    <row r="284" spans="1:23" ht="14" customHeight="1" x14ac:dyDescent="0.25">
      <c r="A284" s="332"/>
      <c r="B284" s="461"/>
      <c r="C284" s="686"/>
      <c r="H284" s="686"/>
      <c r="I284" s="686"/>
      <c r="J284" s="686"/>
      <c r="K284" s="686"/>
      <c r="L284" s="729" t="s">
        <v>80</v>
      </c>
      <c r="M284" s="281" t="s">
        <v>135</v>
      </c>
      <c r="N284" s="702" t="s">
        <v>340</v>
      </c>
      <c r="O284" s="703">
        <f ca="1">IF(VLOOKUP($N284,Data!$C:$H,1,TRUE)=$N284,VLOOKUP($N284,Data!$C:$H,6,TRUE),NA())</f>
        <v>0</v>
      </c>
      <c r="P284" s="703">
        <f t="shared" ca="1" si="4"/>
        <v>0</v>
      </c>
      <c r="Q284" s="466"/>
      <c r="R284" s="467"/>
      <c r="S284" s="297"/>
      <c r="T284" s="297"/>
      <c r="U284" s="297"/>
      <c r="V284" s="297"/>
      <c r="W284" s="467"/>
    </row>
    <row r="285" spans="1:23" ht="14" customHeight="1" x14ac:dyDescent="0.25">
      <c r="A285" s="332"/>
      <c r="B285" s="461"/>
      <c r="C285" s="686"/>
      <c r="H285" s="686"/>
      <c r="I285" s="686"/>
      <c r="J285" s="686"/>
      <c r="K285" s="686"/>
      <c r="L285" s="729" t="s">
        <v>80</v>
      </c>
      <c r="M285" s="281" t="s">
        <v>138</v>
      </c>
      <c r="N285" s="702" t="s">
        <v>341</v>
      </c>
      <c r="O285" s="703">
        <f ca="1">IF(VLOOKUP($N285,Data!$C:$H,1,TRUE)=$N285,VLOOKUP($N285,Data!$C:$H,6,TRUE),NA())</f>
        <v>0</v>
      </c>
      <c r="P285" s="703">
        <f t="shared" ca="1" si="4"/>
        <v>0</v>
      </c>
      <c r="Q285" s="466"/>
      <c r="R285" s="467"/>
      <c r="S285" s="297"/>
      <c r="T285" s="297"/>
      <c r="U285" s="297"/>
      <c r="V285" s="297"/>
      <c r="W285" s="467"/>
    </row>
    <row r="286" spans="1:23" ht="14" customHeight="1" x14ac:dyDescent="0.25">
      <c r="A286" s="332"/>
      <c r="B286" s="461"/>
      <c r="C286" s="686"/>
      <c r="H286" s="686"/>
      <c r="I286" s="686"/>
      <c r="J286" s="686"/>
      <c r="K286" s="686"/>
      <c r="L286" s="729" t="s">
        <v>80</v>
      </c>
      <c r="M286" s="281" t="s">
        <v>143</v>
      </c>
      <c r="N286" s="702" t="s">
        <v>342</v>
      </c>
      <c r="O286" s="703">
        <f ca="1">IF(VLOOKUP($N286,Data!$C:$H,1,TRUE)=$N286,VLOOKUP($N286,Data!$C:$H,6,TRUE),NA())</f>
        <v>0</v>
      </c>
      <c r="P286" s="703">
        <f t="shared" ca="1" si="4"/>
        <v>0</v>
      </c>
      <c r="Q286" s="466"/>
      <c r="R286" s="467"/>
      <c r="S286" s="297"/>
      <c r="T286" s="297"/>
      <c r="U286" s="297"/>
      <c r="V286" s="297"/>
      <c r="W286" s="467"/>
    </row>
    <row r="287" spans="1:23" ht="14" customHeight="1" x14ac:dyDescent="0.25">
      <c r="A287" s="332"/>
      <c r="B287" s="461"/>
      <c r="C287" s="686"/>
      <c r="H287" s="686"/>
      <c r="I287" s="686"/>
      <c r="J287" s="686"/>
      <c r="K287" s="686"/>
      <c r="L287" s="729" t="s">
        <v>80</v>
      </c>
      <c r="M287" s="281" t="s">
        <v>146</v>
      </c>
      <c r="N287" s="702" t="s">
        <v>343</v>
      </c>
      <c r="O287" s="703">
        <f ca="1">IF(VLOOKUP($N287,Data!$C:$H,1,TRUE)=$N287,VLOOKUP($N287,Data!$C:$H,6,TRUE),NA())</f>
        <v>0</v>
      </c>
      <c r="P287" s="703">
        <f t="shared" ca="1" si="4"/>
        <v>0</v>
      </c>
      <c r="Q287" s="466"/>
      <c r="R287" s="467"/>
      <c r="S287" s="297"/>
      <c r="T287" s="297"/>
      <c r="U287" s="297"/>
      <c r="V287" s="297"/>
      <c r="W287" s="467"/>
    </row>
    <row r="288" spans="1:23" ht="14" customHeight="1" x14ac:dyDescent="0.25">
      <c r="A288" s="332"/>
      <c r="B288" s="461"/>
      <c r="C288" s="686"/>
      <c r="H288" s="686"/>
      <c r="I288" s="686"/>
      <c r="J288" s="686"/>
      <c r="K288" s="686"/>
      <c r="L288" s="729" t="s">
        <v>80</v>
      </c>
      <c r="M288" s="281" t="s">
        <v>149</v>
      </c>
      <c r="N288" s="702" t="s">
        <v>344</v>
      </c>
      <c r="O288" s="703">
        <f ca="1">IF(VLOOKUP($N288,Data!$C:$H,1,TRUE)=$N288,VLOOKUP($N288,Data!$C:$H,6,TRUE),NA())</f>
        <v>0</v>
      </c>
      <c r="P288" s="703">
        <f t="shared" ca="1" si="4"/>
        <v>0</v>
      </c>
      <c r="Q288" s="466"/>
      <c r="R288" s="467"/>
      <c r="S288" s="297"/>
      <c r="T288" s="297"/>
      <c r="U288" s="297"/>
      <c r="V288" s="297"/>
      <c r="W288" s="467"/>
    </row>
    <row r="289" spans="1:23" ht="14" customHeight="1" x14ac:dyDescent="0.25">
      <c r="A289" s="332"/>
      <c r="B289" s="461"/>
      <c r="C289" s="686"/>
      <c r="H289" s="686"/>
      <c r="I289" s="686"/>
      <c r="J289" s="686"/>
      <c r="K289" s="686"/>
      <c r="L289" s="729" t="s">
        <v>80</v>
      </c>
      <c r="M289" s="281" t="s">
        <v>152</v>
      </c>
      <c r="N289" s="702" t="s">
        <v>345</v>
      </c>
      <c r="O289" s="703">
        <f ca="1">IF(VLOOKUP($N289,Data!$C:$H,1,TRUE)=$N289,VLOOKUP($N289,Data!$C:$H,6,TRUE),NA())</f>
        <v>0</v>
      </c>
      <c r="P289" s="703">
        <f t="shared" ca="1" si="4"/>
        <v>0</v>
      </c>
      <c r="Q289" s="466"/>
      <c r="R289" s="467"/>
      <c r="S289" s="297"/>
      <c r="T289" s="297"/>
      <c r="U289" s="297"/>
      <c r="V289" s="297"/>
      <c r="W289" s="467"/>
    </row>
    <row r="290" spans="1:23" ht="14" customHeight="1" x14ac:dyDescent="0.25">
      <c r="A290" s="332"/>
      <c r="B290" s="461"/>
      <c r="C290" s="686"/>
      <c r="H290" s="686"/>
      <c r="I290" s="686"/>
      <c r="J290" s="686"/>
      <c r="K290" s="686"/>
      <c r="L290" s="729" t="s">
        <v>80</v>
      </c>
      <c r="M290" s="281" t="s">
        <v>154</v>
      </c>
      <c r="N290" s="702" t="s">
        <v>346</v>
      </c>
      <c r="O290" s="703">
        <f ca="1">IF(VLOOKUP($N290,Data!$C:$H,1,TRUE)=$N290,VLOOKUP($N290,Data!$C:$H,6,TRUE),NA())</f>
        <v>0</v>
      </c>
      <c r="P290" s="703">
        <f t="shared" ca="1" si="4"/>
        <v>0</v>
      </c>
      <c r="Q290" s="466"/>
      <c r="R290" s="467"/>
      <c r="S290" s="297"/>
      <c r="T290" s="297"/>
      <c r="U290" s="297"/>
      <c r="V290" s="297"/>
      <c r="W290" s="467"/>
    </row>
    <row r="291" spans="1:23" ht="14" customHeight="1" x14ac:dyDescent="0.25">
      <c r="A291" s="332"/>
      <c r="B291" s="461"/>
      <c r="C291" s="686"/>
      <c r="H291" s="686"/>
      <c r="I291" s="686"/>
      <c r="J291" s="686"/>
      <c r="K291" s="686"/>
      <c r="L291" s="729" t="s">
        <v>80</v>
      </c>
      <c r="M291" s="281" t="s">
        <v>156</v>
      </c>
      <c r="N291" s="702" t="s">
        <v>347</v>
      </c>
      <c r="O291" s="703">
        <f ca="1">IF(VLOOKUP($N291,Data!$C:$H,1,TRUE)=$N291,VLOOKUP($N291,Data!$C:$H,6,TRUE),NA())</f>
        <v>0</v>
      </c>
      <c r="P291" s="703">
        <f t="shared" ca="1" si="4"/>
        <v>0</v>
      </c>
      <c r="Q291" s="466"/>
      <c r="R291" s="467"/>
      <c r="S291" s="297"/>
      <c r="T291" s="297"/>
      <c r="U291" s="297"/>
      <c r="V291" s="297"/>
      <c r="W291" s="467"/>
    </row>
    <row r="292" spans="1:23" ht="14" customHeight="1" x14ac:dyDescent="0.25">
      <c r="A292" s="332"/>
      <c r="B292" s="461"/>
      <c r="C292" s="686"/>
      <c r="H292" s="686"/>
      <c r="I292" s="686"/>
      <c r="J292" s="686"/>
      <c r="K292" s="686"/>
      <c r="L292" s="729" t="s">
        <v>80</v>
      </c>
      <c r="M292" s="281" t="s">
        <v>159</v>
      </c>
      <c r="N292" s="702" t="s">
        <v>348</v>
      </c>
      <c r="O292" s="703">
        <f ca="1">IF(VLOOKUP($N292,Data!$C:$H,1,TRUE)=$N292,VLOOKUP($N292,Data!$C:$H,6,TRUE),NA())</f>
        <v>0</v>
      </c>
      <c r="P292" s="703">
        <f t="shared" ca="1" si="4"/>
        <v>0</v>
      </c>
      <c r="Q292" s="466"/>
      <c r="R292" s="467"/>
      <c r="S292" s="297"/>
      <c r="T292" s="297"/>
      <c r="U292" s="297"/>
      <c r="V292" s="297"/>
      <c r="W292" s="467"/>
    </row>
    <row r="293" spans="1:23" ht="14" customHeight="1" x14ac:dyDescent="0.25">
      <c r="A293" s="332"/>
      <c r="B293" s="461"/>
      <c r="C293" s="686"/>
      <c r="H293" s="686"/>
      <c r="I293" s="686"/>
      <c r="J293" s="686"/>
      <c r="K293" s="686"/>
      <c r="L293" s="729" t="s">
        <v>83</v>
      </c>
      <c r="M293" s="281" t="s">
        <v>7</v>
      </c>
      <c r="N293" s="702" t="s">
        <v>349</v>
      </c>
      <c r="O293" s="703">
        <f ca="1">IF(VLOOKUP($N293,Data!$C:$H,1,TRUE)=$N293,VLOOKUP($N293,Data!$C:$H,6,TRUE),NA())</f>
        <v>0</v>
      </c>
      <c r="P293" s="703">
        <f t="shared" ca="1" si="4"/>
        <v>0</v>
      </c>
      <c r="Q293" s="466"/>
      <c r="R293" s="467"/>
      <c r="S293" s="297"/>
      <c r="T293" s="297"/>
      <c r="U293" s="297"/>
      <c r="V293" s="297"/>
      <c r="W293" s="467"/>
    </row>
    <row r="294" spans="1:23" ht="14" customHeight="1" x14ac:dyDescent="0.25">
      <c r="A294" s="332"/>
      <c r="B294" s="461"/>
      <c r="C294" s="686"/>
      <c r="H294" s="686"/>
      <c r="I294" s="686"/>
      <c r="J294" s="686"/>
      <c r="K294" s="686"/>
      <c r="L294" s="729" t="s">
        <v>83</v>
      </c>
      <c r="M294" s="281" t="s">
        <v>9</v>
      </c>
      <c r="N294" s="702" t="s">
        <v>350</v>
      </c>
      <c r="O294" s="703">
        <f ca="1">IF(VLOOKUP($N294,Data!$C:$H,1,TRUE)=$N294,VLOOKUP($N294,Data!$C:$H,6,TRUE),NA())</f>
        <v>0</v>
      </c>
      <c r="P294" s="703">
        <f t="shared" ca="1" si="4"/>
        <v>0</v>
      </c>
      <c r="Q294" s="466"/>
      <c r="R294" s="467"/>
      <c r="S294" s="297"/>
      <c r="T294" s="297"/>
      <c r="U294" s="297"/>
      <c r="V294" s="297"/>
      <c r="W294" s="467"/>
    </row>
    <row r="295" spans="1:23" ht="14" customHeight="1" x14ac:dyDescent="0.25">
      <c r="A295" s="332"/>
      <c r="B295" s="461"/>
      <c r="C295" s="686"/>
      <c r="H295" s="686"/>
      <c r="I295" s="686"/>
      <c r="J295" s="686"/>
      <c r="K295" s="686"/>
      <c r="L295" s="729" t="s">
        <v>83</v>
      </c>
      <c r="M295" s="281" t="s">
        <v>10</v>
      </c>
      <c r="N295" s="702" t="s">
        <v>351</v>
      </c>
      <c r="O295" s="703">
        <f ca="1">IF(VLOOKUP($N295,Data!$C:$H,1,TRUE)=$N295,VLOOKUP($N295,Data!$C:$H,6,TRUE),NA())</f>
        <v>0</v>
      </c>
      <c r="P295" s="703">
        <f t="shared" ca="1" si="4"/>
        <v>0</v>
      </c>
      <c r="Q295" s="466"/>
      <c r="R295" s="467"/>
      <c r="S295" s="297"/>
      <c r="T295" s="297"/>
      <c r="U295" s="297"/>
      <c r="V295" s="297"/>
      <c r="W295" s="467"/>
    </row>
    <row r="296" spans="1:23" ht="14" customHeight="1" x14ac:dyDescent="0.25">
      <c r="A296" s="332"/>
      <c r="B296" s="461"/>
      <c r="C296" s="686"/>
      <c r="H296" s="686"/>
      <c r="I296" s="686"/>
      <c r="J296" s="686"/>
      <c r="K296" s="686"/>
      <c r="L296" s="729" t="s">
        <v>83</v>
      </c>
      <c r="M296" s="281" t="s">
        <v>11</v>
      </c>
      <c r="N296" s="702" t="s">
        <v>352</v>
      </c>
      <c r="O296" s="703">
        <f ca="1">IF(VLOOKUP($N296,Data!$C:$H,1,TRUE)=$N296,VLOOKUP($N296,Data!$C:$H,6,TRUE),NA())</f>
        <v>0</v>
      </c>
      <c r="P296" s="703">
        <f t="shared" ca="1" si="4"/>
        <v>0</v>
      </c>
      <c r="Q296" s="466"/>
      <c r="R296" s="467"/>
      <c r="S296" s="297"/>
      <c r="T296" s="297"/>
      <c r="U296" s="297"/>
      <c r="V296" s="297"/>
      <c r="W296" s="467"/>
    </row>
    <row r="297" spans="1:23" ht="14" customHeight="1" x14ac:dyDescent="0.25">
      <c r="A297" s="332"/>
      <c r="B297" s="461"/>
      <c r="C297" s="686"/>
      <c r="H297" s="686"/>
      <c r="I297" s="686"/>
      <c r="J297" s="686"/>
      <c r="K297" s="686"/>
      <c r="L297" s="729" t="s">
        <v>83</v>
      </c>
      <c r="M297" s="281" t="s">
        <v>12</v>
      </c>
      <c r="N297" s="702" t="s">
        <v>353</v>
      </c>
      <c r="O297" s="703">
        <f ca="1">IF(VLOOKUP($N297,Data!$C:$H,1,TRUE)=$N297,VLOOKUP($N297,Data!$C:$H,6,TRUE),NA())</f>
        <v>0</v>
      </c>
      <c r="P297" s="703">
        <f t="shared" ca="1" si="4"/>
        <v>0</v>
      </c>
      <c r="Q297" s="466"/>
      <c r="R297" s="467"/>
      <c r="S297" s="297"/>
      <c r="T297" s="297"/>
      <c r="U297" s="297"/>
      <c r="V297" s="297"/>
      <c r="W297" s="467"/>
    </row>
    <row r="298" spans="1:23" ht="14" customHeight="1" x14ac:dyDescent="0.25">
      <c r="A298" s="332"/>
      <c r="B298" s="461"/>
      <c r="C298" s="686"/>
      <c r="H298" s="686"/>
      <c r="I298" s="686"/>
      <c r="J298" s="686"/>
      <c r="K298" s="686"/>
      <c r="L298" s="729" t="s">
        <v>83</v>
      </c>
      <c r="M298" s="281" t="s">
        <v>13</v>
      </c>
      <c r="N298" s="702" t="s">
        <v>354</v>
      </c>
      <c r="O298" s="703">
        <f ca="1">IF(VLOOKUP($N298,Data!$C:$H,1,TRUE)=$N298,VLOOKUP($N298,Data!$C:$H,6,TRUE),NA())</f>
        <v>0</v>
      </c>
      <c r="P298" s="703">
        <f t="shared" ca="1" si="4"/>
        <v>0</v>
      </c>
      <c r="Q298" s="466"/>
      <c r="R298" s="467"/>
      <c r="S298" s="297"/>
      <c r="T298" s="297"/>
      <c r="U298" s="297"/>
      <c r="V298" s="297"/>
      <c r="W298" s="467"/>
    </row>
    <row r="299" spans="1:23" ht="14" customHeight="1" x14ac:dyDescent="0.25">
      <c r="A299" s="332"/>
      <c r="B299" s="461"/>
      <c r="C299" s="686"/>
      <c r="H299" s="686"/>
      <c r="I299" s="686"/>
      <c r="J299" s="686"/>
      <c r="K299" s="686"/>
      <c r="L299" s="729" t="s">
        <v>83</v>
      </c>
      <c r="M299" s="281" t="s">
        <v>14</v>
      </c>
      <c r="N299" s="702" t="s">
        <v>355</v>
      </c>
      <c r="O299" s="703">
        <f ca="1">IF(VLOOKUP($N299,Data!$C:$H,1,TRUE)=$N299,VLOOKUP($N299,Data!$C:$H,6,TRUE),NA())</f>
        <v>0</v>
      </c>
      <c r="P299" s="703">
        <f t="shared" ca="1" si="4"/>
        <v>0</v>
      </c>
      <c r="Q299" s="466"/>
      <c r="R299" s="467"/>
      <c r="S299" s="297"/>
      <c r="T299" s="297"/>
      <c r="U299" s="297"/>
      <c r="V299" s="297"/>
      <c r="W299" s="467"/>
    </row>
    <row r="300" spans="1:23" ht="14" customHeight="1" x14ac:dyDescent="0.25">
      <c r="A300" s="332"/>
      <c r="B300" s="461"/>
      <c r="C300" s="686"/>
      <c r="H300" s="686"/>
      <c r="I300" s="686"/>
      <c r="J300" s="686"/>
      <c r="K300" s="686"/>
      <c r="L300" s="729" t="s">
        <v>83</v>
      </c>
      <c r="M300" s="281" t="s">
        <v>15</v>
      </c>
      <c r="N300" s="702" t="s">
        <v>356</v>
      </c>
      <c r="O300" s="703">
        <f ca="1">IF(VLOOKUP($N300,Data!$C:$H,1,TRUE)=$N300,VLOOKUP($N300,Data!$C:$H,6,TRUE),NA())</f>
        <v>0</v>
      </c>
      <c r="P300" s="703">
        <f t="shared" ca="1" si="4"/>
        <v>0</v>
      </c>
      <c r="Q300" s="466"/>
      <c r="R300" s="467"/>
      <c r="S300" s="297"/>
      <c r="T300" s="297"/>
      <c r="U300" s="297"/>
      <c r="V300" s="297"/>
      <c r="W300" s="467"/>
    </row>
    <row r="301" spans="1:23" ht="14" customHeight="1" x14ac:dyDescent="0.25">
      <c r="A301" s="332"/>
      <c r="B301" s="461"/>
      <c r="C301" s="686"/>
      <c r="H301" s="686"/>
      <c r="I301" s="686"/>
      <c r="J301" s="686"/>
      <c r="K301" s="686"/>
      <c r="L301" s="729" t="s">
        <v>83</v>
      </c>
      <c r="M301" s="281" t="s">
        <v>16</v>
      </c>
      <c r="N301" s="702" t="s">
        <v>357</v>
      </c>
      <c r="O301" s="703">
        <f ca="1">IF(VLOOKUP($N301,Data!$C:$H,1,TRUE)=$N301,VLOOKUP($N301,Data!$C:$H,6,TRUE),NA())</f>
        <v>0</v>
      </c>
      <c r="P301" s="703">
        <f t="shared" ca="1" si="4"/>
        <v>0</v>
      </c>
      <c r="Q301" s="466"/>
      <c r="R301" s="467"/>
      <c r="S301" s="297"/>
      <c r="T301" s="297"/>
      <c r="U301" s="297"/>
      <c r="V301" s="297"/>
      <c r="W301" s="467"/>
    </row>
    <row r="302" spans="1:23" ht="14" customHeight="1" x14ac:dyDescent="0.25">
      <c r="A302" s="332"/>
      <c r="B302" s="461"/>
      <c r="C302" s="686"/>
      <c r="H302" s="686"/>
      <c r="I302" s="686"/>
      <c r="J302" s="686"/>
      <c r="K302" s="686"/>
      <c r="L302" s="729" t="s">
        <v>83</v>
      </c>
      <c r="M302" s="281" t="s">
        <v>20</v>
      </c>
      <c r="N302" s="702" t="s">
        <v>358</v>
      </c>
      <c r="O302" s="703">
        <f ca="1">IF(VLOOKUP($N302,Data!$C:$H,1,TRUE)=$N302,VLOOKUP($N302,Data!$C:$H,6,TRUE),NA())</f>
        <v>0</v>
      </c>
      <c r="P302" s="703">
        <f t="shared" ca="1" si="4"/>
        <v>0</v>
      </c>
      <c r="Q302" s="466"/>
      <c r="R302" s="467"/>
      <c r="S302" s="297"/>
      <c r="T302" s="297"/>
      <c r="U302" s="297"/>
      <c r="V302" s="297"/>
      <c r="W302" s="467"/>
    </row>
    <row r="303" spans="1:23" ht="14" customHeight="1" x14ac:dyDescent="0.25">
      <c r="A303" s="332"/>
      <c r="B303" s="461"/>
      <c r="C303" s="686"/>
      <c r="H303" s="686"/>
      <c r="I303" s="686"/>
      <c r="J303" s="686"/>
      <c r="K303" s="686"/>
      <c r="L303" s="729" t="s">
        <v>83</v>
      </c>
      <c r="M303" s="281" t="s">
        <v>21</v>
      </c>
      <c r="N303" s="702" t="s">
        <v>359</v>
      </c>
      <c r="O303" s="703">
        <f ca="1">IF(VLOOKUP($N303,Data!$C:$H,1,TRUE)=$N303,VLOOKUP($N303,Data!$C:$H,6,TRUE),NA())</f>
        <v>0</v>
      </c>
      <c r="P303" s="703">
        <f t="shared" ca="1" si="4"/>
        <v>0</v>
      </c>
      <c r="Q303" s="466"/>
      <c r="R303" s="467"/>
      <c r="S303" s="297"/>
      <c r="T303" s="297"/>
      <c r="U303" s="297"/>
      <c r="V303" s="297"/>
      <c r="W303" s="467"/>
    </row>
    <row r="304" spans="1:23" ht="14" customHeight="1" x14ac:dyDescent="0.25">
      <c r="A304" s="332"/>
      <c r="B304" s="461"/>
      <c r="C304" s="686"/>
      <c r="H304" s="686"/>
      <c r="I304" s="686"/>
      <c r="J304" s="686"/>
      <c r="K304" s="686"/>
      <c r="L304" s="729" t="s">
        <v>83</v>
      </c>
      <c r="M304" s="281" t="s">
        <v>22</v>
      </c>
      <c r="N304" s="702" t="s">
        <v>360</v>
      </c>
      <c r="O304" s="703">
        <f ca="1">IF(VLOOKUP($N304,Data!$C:$H,1,TRUE)=$N304,VLOOKUP($N304,Data!$C:$H,6,TRUE),NA())</f>
        <v>0</v>
      </c>
      <c r="P304" s="703">
        <f t="shared" ca="1" si="4"/>
        <v>0</v>
      </c>
      <c r="Q304" s="466"/>
      <c r="R304" s="467"/>
      <c r="S304" s="297"/>
      <c r="T304" s="297"/>
      <c r="U304" s="297"/>
      <c r="V304" s="297"/>
      <c r="W304" s="467"/>
    </row>
    <row r="305" spans="1:23" ht="14" customHeight="1" x14ac:dyDescent="0.25">
      <c r="A305" s="332"/>
      <c r="B305" s="461"/>
      <c r="C305" s="686"/>
      <c r="H305" s="686"/>
      <c r="I305" s="686"/>
      <c r="J305" s="686"/>
      <c r="K305" s="686"/>
      <c r="L305" s="729" t="s">
        <v>83</v>
      </c>
      <c r="M305" s="281" t="s">
        <v>25</v>
      </c>
      <c r="N305" s="702" t="s">
        <v>361</v>
      </c>
      <c r="O305" s="703">
        <f ca="1">IF(VLOOKUP($N305,Data!$C:$H,1,TRUE)=$N305,VLOOKUP($N305,Data!$C:$H,6,TRUE),NA())</f>
        <v>0</v>
      </c>
      <c r="P305" s="703">
        <f t="shared" ca="1" si="4"/>
        <v>0</v>
      </c>
      <c r="Q305" s="466"/>
      <c r="R305" s="467"/>
      <c r="S305" s="297"/>
      <c r="T305" s="297"/>
      <c r="U305" s="297"/>
      <c r="V305" s="297"/>
      <c r="W305" s="467"/>
    </row>
    <row r="306" spans="1:23" ht="14" customHeight="1" x14ac:dyDescent="0.25">
      <c r="A306" s="332"/>
      <c r="B306" s="461"/>
      <c r="C306" s="686"/>
      <c r="H306" s="686"/>
      <c r="I306" s="686"/>
      <c r="J306" s="686"/>
      <c r="K306" s="686"/>
      <c r="L306" s="729" t="s">
        <v>83</v>
      </c>
      <c r="M306" s="281" t="s">
        <v>26</v>
      </c>
      <c r="N306" s="702" t="s">
        <v>362</v>
      </c>
      <c r="O306" s="703">
        <f ca="1">IF(VLOOKUP($N306,Data!$C:$H,1,TRUE)=$N306,VLOOKUP($N306,Data!$C:$H,6,TRUE),NA())</f>
        <v>0</v>
      </c>
      <c r="P306" s="703">
        <f t="shared" ca="1" si="4"/>
        <v>0</v>
      </c>
      <c r="Q306" s="466"/>
      <c r="R306" s="467"/>
      <c r="S306" s="297"/>
      <c r="T306" s="297"/>
      <c r="U306" s="297"/>
      <c r="V306" s="297"/>
      <c r="W306" s="467"/>
    </row>
    <row r="307" spans="1:23" ht="14" customHeight="1" x14ac:dyDescent="0.25">
      <c r="A307" s="332"/>
      <c r="B307" s="461"/>
      <c r="C307" s="686"/>
      <c r="H307" s="686"/>
      <c r="I307" s="686"/>
      <c r="J307" s="686"/>
      <c r="K307" s="686"/>
      <c r="L307" s="729" t="s">
        <v>83</v>
      </c>
      <c r="M307" s="281" t="s">
        <v>27</v>
      </c>
      <c r="N307" s="702" t="s">
        <v>363</v>
      </c>
      <c r="O307" s="703">
        <f ca="1">IF(VLOOKUP($N307,Data!$C:$H,1,TRUE)=$N307,VLOOKUP($N307,Data!$C:$H,6,TRUE),NA())</f>
        <v>0</v>
      </c>
      <c r="P307" s="703">
        <f t="shared" ca="1" si="4"/>
        <v>0</v>
      </c>
      <c r="Q307" s="466"/>
      <c r="R307" s="467"/>
      <c r="S307" s="297"/>
      <c r="T307" s="297"/>
      <c r="U307" s="297"/>
      <c r="V307" s="297"/>
      <c r="W307" s="467"/>
    </row>
    <row r="308" spans="1:23" ht="14" customHeight="1" x14ac:dyDescent="0.25">
      <c r="A308" s="332"/>
      <c r="B308" s="461"/>
      <c r="C308" s="686"/>
      <c r="H308" s="686"/>
      <c r="I308" s="686"/>
      <c r="J308" s="686"/>
      <c r="K308" s="686"/>
      <c r="L308" s="729" t="s">
        <v>83</v>
      </c>
      <c r="M308" s="281" t="s">
        <v>28</v>
      </c>
      <c r="N308" s="702" t="s">
        <v>364</v>
      </c>
      <c r="O308" s="703">
        <f ca="1">IF(VLOOKUP($N308,Data!$C:$H,1,TRUE)=$N308,VLOOKUP($N308,Data!$C:$H,6,TRUE),NA())</f>
        <v>0</v>
      </c>
      <c r="P308" s="703">
        <f t="shared" ca="1" si="4"/>
        <v>0</v>
      </c>
      <c r="Q308" s="466"/>
      <c r="R308" s="467"/>
      <c r="S308" s="297"/>
      <c r="T308" s="297"/>
      <c r="U308" s="297"/>
      <c r="V308" s="297"/>
      <c r="W308" s="467"/>
    </row>
    <row r="309" spans="1:23" ht="14" customHeight="1" x14ac:dyDescent="0.25">
      <c r="A309" s="332"/>
      <c r="B309" s="461"/>
      <c r="C309" s="686"/>
      <c r="H309" s="686"/>
      <c r="I309" s="686"/>
      <c r="J309" s="686"/>
      <c r="K309" s="686"/>
      <c r="L309" s="729" t="s">
        <v>83</v>
      </c>
      <c r="M309" s="281" t="s">
        <v>126</v>
      </c>
      <c r="N309" s="702" t="s">
        <v>365</v>
      </c>
      <c r="O309" s="703">
        <f ca="1">IF(VLOOKUP($N309,Data!$C:$H,1,TRUE)=$N309,VLOOKUP($N309,Data!$C:$H,6,TRUE),NA())</f>
        <v>0</v>
      </c>
      <c r="P309" s="703">
        <f t="shared" ca="1" si="4"/>
        <v>0</v>
      </c>
      <c r="Q309" s="466"/>
      <c r="R309" s="467"/>
      <c r="S309" s="297"/>
      <c r="T309" s="297"/>
      <c r="U309" s="297"/>
      <c r="V309" s="297"/>
      <c r="W309" s="467"/>
    </row>
    <row r="310" spans="1:23" ht="14" customHeight="1" x14ac:dyDescent="0.25">
      <c r="A310" s="332"/>
      <c r="B310" s="461"/>
      <c r="C310" s="686"/>
      <c r="H310" s="686"/>
      <c r="I310" s="686"/>
      <c r="J310" s="686"/>
      <c r="K310" s="686"/>
      <c r="L310" s="729" t="s">
        <v>83</v>
      </c>
      <c r="M310" s="281" t="s">
        <v>129</v>
      </c>
      <c r="N310" s="702" t="s">
        <v>366</v>
      </c>
      <c r="O310" s="703">
        <f ca="1">IF(VLOOKUP($N310,Data!$C:$H,1,TRUE)=$N310,VLOOKUP($N310,Data!$C:$H,6,TRUE),NA())</f>
        <v>0</v>
      </c>
      <c r="P310" s="703">
        <f t="shared" ca="1" si="4"/>
        <v>0</v>
      </c>
      <c r="Q310" s="466"/>
      <c r="R310" s="467"/>
      <c r="S310" s="297"/>
      <c r="T310" s="297"/>
      <c r="U310" s="297"/>
      <c r="V310" s="297"/>
      <c r="W310" s="467"/>
    </row>
    <row r="311" spans="1:23" ht="14" customHeight="1" x14ac:dyDescent="0.25">
      <c r="A311" s="332"/>
      <c r="B311" s="461"/>
      <c r="C311" s="686"/>
      <c r="H311" s="686"/>
      <c r="I311" s="686"/>
      <c r="J311" s="686"/>
      <c r="K311" s="686"/>
      <c r="L311" s="729" t="s">
        <v>83</v>
      </c>
      <c r="M311" s="281" t="s">
        <v>132</v>
      </c>
      <c r="N311" s="702" t="s">
        <v>367</v>
      </c>
      <c r="O311" s="703">
        <f ca="1">IF(VLOOKUP($N311,Data!$C:$H,1,TRUE)=$N311,VLOOKUP($N311,Data!$C:$H,6,TRUE),NA())</f>
        <v>0</v>
      </c>
      <c r="P311" s="703">
        <f t="shared" ca="1" si="4"/>
        <v>0</v>
      </c>
      <c r="Q311" s="466"/>
      <c r="R311" s="467"/>
      <c r="S311" s="297"/>
      <c r="T311" s="297"/>
      <c r="U311" s="297"/>
      <c r="V311" s="297"/>
      <c r="W311" s="467"/>
    </row>
    <row r="312" spans="1:23" ht="14" customHeight="1" x14ac:dyDescent="0.25">
      <c r="A312" s="332"/>
      <c r="B312" s="461"/>
      <c r="C312" s="686"/>
      <c r="H312" s="686"/>
      <c r="I312" s="686"/>
      <c r="J312" s="686"/>
      <c r="K312" s="686"/>
      <c r="L312" s="729" t="s">
        <v>83</v>
      </c>
      <c r="M312" s="281" t="s">
        <v>135</v>
      </c>
      <c r="N312" s="702" t="s">
        <v>368</v>
      </c>
      <c r="O312" s="703">
        <f ca="1">IF(VLOOKUP($N312,Data!$C:$H,1,TRUE)=$N312,VLOOKUP($N312,Data!$C:$H,6,TRUE),NA())</f>
        <v>0</v>
      </c>
      <c r="P312" s="703">
        <f t="shared" ca="1" si="4"/>
        <v>0</v>
      </c>
      <c r="Q312" s="466"/>
      <c r="R312" s="467"/>
      <c r="S312" s="297"/>
      <c r="T312" s="297"/>
      <c r="U312" s="297"/>
      <c r="V312" s="297"/>
      <c r="W312" s="467"/>
    </row>
    <row r="313" spans="1:23" ht="14" customHeight="1" x14ac:dyDescent="0.25">
      <c r="A313" s="332"/>
      <c r="B313" s="461"/>
      <c r="C313" s="686"/>
      <c r="H313" s="686"/>
      <c r="I313" s="686"/>
      <c r="J313" s="686"/>
      <c r="K313" s="686"/>
      <c r="L313" s="729" t="s">
        <v>83</v>
      </c>
      <c r="M313" s="281" t="s">
        <v>138</v>
      </c>
      <c r="N313" s="702" t="s">
        <v>369</v>
      </c>
      <c r="O313" s="703">
        <f ca="1">IF(VLOOKUP($N313,Data!$C:$H,1,TRUE)=$N313,VLOOKUP($N313,Data!$C:$H,6,TRUE),NA())</f>
        <v>0</v>
      </c>
      <c r="P313" s="703">
        <f t="shared" ca="1" si="4"/>
        <v>0</v>
      </c>
      <c r="Q313" s="466"/>
      <c r="R313" s="467"/>
      <c r="S313" s="297"/>
      <c r="T313" s="297"/>
      <c r="U313" s="297"/>
      <c r="V313" s="297"/>
      <c r="W313" s="467"/>
    </row>
    <row r="314" spans="1:23" ht="14" customHeight="1" x14ac:dyDescent="0.25">
      <c r="A314" s="332"/>
      <c r="B314" s="461"/>
      <c r="C314" s="686"/>
      <c r="H314" s="686"/>
      <c r="I314" s="686"/>
      <c r="J314" s="686"/>
      <c r="K314" s="686"/>
      <c r="L314" s="729" t="s">
        <v>83</v>
      </c>
      <c r="M314" s="281" t="s">
        <v>140</v>
      </c>
      <c r="N314" s="702" t="s">
        <v>370</v>
      </c>
      <c r="O314" s="703">
        <f ca="1">IF(VLOOKUP($N314,Data!$C:$H,1,TRUE)=$N314,VLOOKUP($N314,Data!$C:$H,6,TRUE),NA())</f>
        <v>0</v>
      </c>
      <c r="P314" s="703">
        <f t="shared" ca="1" si="4"/>
        <v>0</v>
      </c>
      <c r="Q314" s="466"/>
      <c r="R314" s="467"/>
      <c r="S314" s="297"/>
      <c r="T314" s="297"/>
      <c r="U314" s="297"/>
      <c r="V314" s="297"/>
      <c r="W314" s="467"/>
    </row>
    <row r="315" spans="1:23" ht="14" customHeight="1" x14ac:dyDescent="0.25">
      <c r="A315" s="332"/>
      <c r="B315" s="461"/>
      <c r="C315" s="686"/>
      <c r="H315" s="686"/>
      <c r="I315" s="686"/>
      <c r="J315" s="686"/>
      <c r="K315" s="686"/>
      <c r="L315" s="729" t="s">
        <v>83</v>
      </c>
      <c r="M315" s="281" t="s">
        <v>255</v>
      </c>
      <c r="N315" s="702" t="s">
        <v>371</v>
      </c>
      <c r="O315" s="703">
        <f ca="1">IF(VLOOKUP($N315,Data!$C:$H,1,TRUE)=$N315,VLOOKUP($N315,Data!$C:$H,6,TRUE),NA())</f>
        <v>0</v>
      </c>
      <c r="P315" s="703">
        <f t="shared" ca="1" si="4"/>
        <v>0</v>
      </c>
      <c r="Q315" s="466"/>
      <c r="R315" s="467"/>
      <c r="S315" s="297"/>
      <c r="T315" s="297"/>
      <c r="U315" s="297"/>
      <c r="V315" s="297"/>
      <c r="W315" s="467"/>
    </row>
    <row r="316" spans="1:23" ht="14" customHeight="1" x14ac:dyDescent="0.25">
      <c r="A316" s="332"/>
      <c r="B316" s="461"/>
      <c r="C316" s="686"/>
      <c r="H316" s="686"/>
      <c r="I316" s="686"/>
      <c r="J316" s="686"/>
      <c r="K316" s="686"/>
      <c r="L316" s="729" t="s">
        <v>83</v>
      </c>
      <c r="M316" s="281" t="s">
        <v>373</v>
      </c>
      <c r="N316" s="702" t="s">
        <v>372</v>
      </c>
      <c r="O316" s="703">
        <f ca="1">IF(VLOOKUP($N316,Data!$C:$H,1,TRUE)=$N316,VLOOKUP($N316,Data!$C:$H,6,TRUE),NA())</f>
        <v>0</v>
      </c>
      <c r="P316" s="703">
        <f t="shared" ca="1" si="4"/>
        <v>0</v>
      </c>
      <c r="Q316" s="466"/>
      <c r="R316" s="467"/>
      <c r="S316" s="297"/>
      <c r="T316" s="297"/>
      <c r="U316" s="297"/>
      <c r="V316" s="297"/>
      <c r="W316" s="467"/>
    </row>
    <row r="317" spans="1:23" ht="14" customHeight="1" x14ac:dyDescent="0.25">
      <c r="A317" s="332"/>
      <c r="B317" s="461"/>
      <c r="C317" s="686"/>
      <c r="H317" s="686"/>
      <c r="I317" s="686"/>
      <c r="J317" s="686"/>
      <c r="K317" s="686"/>
      <c r="L317" s="729" t="s">
        <v>83</v>
      </c>
      <c r="M317" s="281" t="s">
        <v>375</v>
      </c>
      <c r="N317" s="702" t="s">
        <v>374</v>
      </c>
      <c r="O317" s="703">
        <f ca="1">IF(VLOOKUP($N317,Data!$C:$H,1,TRUE)=$N317,VLOOKUP($N317,Data!$C:$H,6,TRUE),NA())</f>
        <v>0</v>
      </c>
      <c r="P317" s="703">
        <f t="shared" ca="1" si="4"/>
        <v>0</v>
      </c>
      <c r="Q317" s="466"/>
      <c r="R317" s="467"/>
      <c r="S317" s="297"/>
      <c r="T317" s="297"/>
      <c r="U317" s="297"/>
      <c r="V317" s="297"/>
      <c r="W317" s="467"/>
    </row>
    <row r="318" spans="1:23" ht="14" customHeight="1" x14ac:dyDescent="0.25">
      <c r="A318" s="332"/>
      <c r="B318" s="461"/>
      <c r="C318" s="686"/>
      <c r="H318" s="686"/>
      <c r="I318" s="686"/>
      <c r="J318" s="686"/>
      <c r="K318" s="686"/>
      <c r="L318" s="729" t="s">
        <v>83</v>
      </c>
      <c r="M318" s="281" t="s">
        <v>143</v>
      </c>
      <c r="N318" s="702" t="s">
        <v>376</v>
      </c>
      <c r="O318" s="703">
        <f ca="1">IF(VLOOKUP($N318,Data!$C:$H,1,TRUE)=$N318,VLOOKUP($N318,Data!$C:$H,6,TRUE),NA())</f>
        <v>0</v>
      </c>
      <c r="P318" s="703">
        <f t="shared" ca="1" si="4"/>
        <v>0</v>
      </c>
      <c r="Q318" s="466"/>
      <c r="R318" s="467"/>
      <c r="S318" s="297"/>
      <c r="T318" s="297"/>
      <c r="U318" s="297"/>
      <c r="V318" s="297"/>
      <c r="W318" s="467"/>
    </row>
    <row r="319" spans="1:23" ht="14" customHeight="1" x14ac:dyDescent="0.25">
      <c r="A319" s="332"/>
      <c r="B319" s="461"/>
      <c r="C319" s="686"/>
      <c r="H319" s="686"/>
      <c r="I319" s="686"/>
      <c r="J319" s="686"/>
      <c r="K319" s="686"/>
      <c r="L319" s="729" t="s">
        <v>83</v>
      </c>
      <c r="M319" s="281" t="s">
        <v>146</v>
      </c>
      <c r="N319" s="702" t="s">
        <v>377</v>
      </c>
      <c r="O319" s="703">
        <f ca="1">IF(VLOOKUP($N319,Data!$C:$H,1,TRUE)=$N319,VLOOKUP($N319,Data!$C:$H,6,TRUE),NA())</f>
        <v>0</v>
      </c>
      <c r="P319" s="703">
        <f t="shared" ca="1" si="4"/>
        <v>0</v>
      </c>
      <c r="Q319" s="466"/>
      <c r="R319" s="467"/>
      <c r="S319" s="297"/>
      <c r="T319" s="297"/>
      <c r="U319" s="297"/>
      <c r="V319" s="297"/>
      <c r="W319" s="467"/>
    </row>
    <row r="320" spans="1:23" ht="14" customHeight="1" x14ac:dyDescent="0.25">
      <c r="A320" s="332"/>
      <c r="B320" s="461"/>
      <c r="C320" s="686"/>
      <c r="H320" s="686"/>
      <c r="I320" s="686"/>
      <c r="J320" s="686"/>
      <c r="K320" s="686"/>
      <c r="L320" s="729" t="s">
        <v>83</v>
      </c>
      <c r="M320" s="281" t="s">
        <v>149</v>
      </c>
      <c r="N320" s="702" t="s">
        <v>378</v>
      </c>
      <c r="O320" s="703">
        <f ca="1">IF(VLOOKUP($N320,Data!$C:$H,1,TRUE)=$N320,VLOOKUP($N320,Data!$C:$H,6,TRUE),NA())</f>
        <v>0</v>
      </c>
      <c r="P320" s="703">
        <f t="shared" ca="1" si="4"/>
        <v>0</v>
      </c>
      <c r="Q320" s="466"/>
      <c r="R320" s="467"/>
      <c r="S320" s="297"/>
      <c r="T320" s="297"/>
      <c r="U320" s="297"/>
      <c r="V320" s="297"/>
      <c r="W320" s="467"/>
    </row>
    <row r="321" spans="1:23" ht="14" customHeight="1" x14ac:dyDescent="0.25">
      <c r="A321" s="332"/>
      <c r="B321" s="461"/>
      <c r="C321" s="686"/>
      <c r="H321" s="686"/>
      <c r="I321" s="686"/>
      <c r="J321" s="686"/>
      <c r="K321" s="686"/>
      <c r="L321" s="729" t="s">
        <v>83</v>
      </c>
      <c r="M321" s="281" t="s">
        <v>152</v>
      </c>
      <c r="N321" s="702" t="s">
        <v>379</v>
      </c>
      <c r="O321" s="703">
        <f ca="1">IF(VLOOKUP($N321,Data!$C:$H,1,TRUE)=$N321,VLOOKUP($N321,Data!$C:$H,6,TRUE),NA())</f>
        <v>0</v>
      </c>
      <c r="P321" s="703">
        <f t="shared" ca="1" si="4"/>
        <v>0</v>
      </c>
      <c r="Q321" s="466"/>
      <c r="R321" s="467"/>
      <c r="S321" s="297"/>
      <c r="T321" s="297"/>
      <c r="U321" s="297"/>
      <c r="V321" s="297"/>
      <c r="W321" s="467"/>
    </row>
    <row r="322" spans="1:23" ht="14" customHeight="1" x14ac:dyDescent="0.25">
      <c r="A322" s="332"/>
      <c r="B322" s="461"/>
      <c r="C322" s="686"/>
      <c r="H322" s="686"/>
      <c r="I322" s="686"/>
      <c r="J322" s="686"/>
      <c r="K322" s="686"/>
      <c r="L322" s="729" t="s">
        <v>83</v>
      </c>
      <c r="M322" s="281" t="s">
        <v>154</v>
      </c>
      <c r="N322" s="702" t="s">
        <v>380</v>
      </c>
      <c r="O322" s="703">
        <f ca="1">IF(VLOOKUP($N322,Data!$C:$H,1,TRUE)=$N322,VLOOKUP($N322,Data!$C:$H,6,TRUE),NA())</f>
        <v>0</v>
      </c>
      <c r="P322" s="703">
        <f t="shared" ca="1" si="4"/>
        <v>0</v>
      </c>
      <c r="Q322" s="466"/>
      <c r="R322" s="467"/>
      <c r="S322" s="297"/>
      <c r="T322" s="297"/>
      <c r="U322" s="297"/>
      <c r="V322" s="297"/>
      <c r="W322" s="467"/>
    </row>
    <row r="323" spans="1:23" ht="14" customHeight="1" x14ac:dyDescent="0.25">
      <c r="A323" s="332"/>
      <c r="B323" s="461"/>
      <c r="C323" s="686"/>
      <c r="H323" s="686"/>
      <c r="I323" s="686"/>
      <c r="J323" s="686"/>
      <c r="K323" s="686"/>
      <c r="L323" s="729" t="s">
        <v>83</v>
      </c>
      <c r="M323" s="281" t="s">
        <v>156</v>
      </c>
      <c r="N323" s="702" t="s">
        <v>381</v>
      </c>
      <c r="O323" s="703">
        <f ca="1">IF(VLOOKUP($N323,Data!$C:$H,1,TRUE)=$N323,VLOOKUP($N323,Data!$C:$H,6,TRUE),NA())</f>
        <v>0</v>
      </c>
      <c r="P323" s="703">
        <f t="shared" ca="1" si="4"/>
        <v>0</v>
      </c>
      <c r="Q323" s="466"/>
      <c r="R323" s="467"/>
      <c r="S323" s="297"/>
      <c r="T323" s="297"/>
      <c r="U323" s="297"/>
      <c r="V323" s="297"/>
      <c r="W323" s="467"/>
    </row>
    <row r="324" spans="1:23" ht="14" customHeight="1" x14ac:dyDescent="0.25">
      <c r="A324" s="332"/>
      <c r="B324" s="461"/>
      <c r="C324" s="686"/>
      <c r="H324" s="686"/>
      <c r="I324" s="686"/>
      <c r="J324" s="686"/>
      <c r="K324" s="686"/>
      <c r="L324" s="729" t="s">
        <v>83</v>
      </c>
      <c r="M324" s="281" t="s">
        <v>159</v>
      </c>
      <c r="N324" s="702" t="s">
        <v>382</v>
      </c>
      <c r="O324" s="703">
        <f ca="1">IF(VLOOKUP($N324,Data!$C:$H,1,TRUE)=$N324,VLOOKUP($N324,Data!$C:$H,6,TRUE),NA())</f>
        <v>0</v>
      </c>
      <c r="P324" s="703">
        <f t="shared" ca="1" si="4"/>
        <v>0</v>
      </c>
      <c r="Q324" s="466"/>
      <c r="R324" s="467"/>
      <c r="S324" s="297"/>
      <c r="T324" s="297"/>
      <c r="U324" s="297"/>
      <c r="V324" s="297"/>
      <c r="W324" s="467"/>
    </row>
    <row r="325" spans="1:23" ht="14" customHeight="1" x14ac:dyDescent="0.25">
      <c r="A325" s="332"/>
      <c r="B325" s="461"/>
      <c r="C325" s="686"/>
      <c r="H325" s="686"/>
      <c r="I325" s="686"/>
      <c r="J325" s="686"/>
      <c r="K325" s="686"/>
      <c r="L325" s="729" t="s">
        <v>85</v>
      </c>
      <c r="M325" s="281" t="s">
        <v>7</v>
      </c>
      <c r="N325" s="702" t="s">
        <v>383</v>
      </c>
      <c r="O325" s="703">
        <f ca="1">IF(VLOOKUP($N325,Data!$C:$H,1,TRUE)=$N325,VLOOKUP($N325,Data!$C:$H,6,TRUE),NA())</f>
        <v>0</v>
      </c>
      <c r="P325" s="703">
        <f t="shared" ca="1" si="4"/>
        <v>0</v>
      </c>
      <c r="Q325" s="466"/>
      <c r="R325" s="467"/>
      <c r="S325" s="297"/>
      <c r="T325" s="297"/>
      <c r="U325" s="297"/>
      <c r="V325" s="297"/>
      <c r="W325" s="467"/>
    </row>
    <row r="326" spans="1:23" ht="14" customHeight="1" x14ac:dyDescent="0.25">
      <c r="A326" s="332"/>
      <c r="B326" s="461"/>
      <c r="C326" s="686"/>
      <c r="H326" s="686"/>
      <c r="I326" s="686"/>
      <c r="J326" s="686"/>
      <c r="K326" s="686"/>
      <c r="L326" s="729" t="s">
        <v>85</v>
      </c>
      <c r="M326" s="281" t="s">
        <v>9</v>
      </c>
      <c r="N326" s="702" t="s">
        <v>384</v>
      </c>
      <c r="O326" s="703">
        <f ca="1">IF(VLOOKUP($N326,Data!$C:$H,1,TRUE)=$N326,VLOOKUP($N326,Data!$C:$H,6,TRUE),NA())</f>
        <v>0</v>
      </c>
      <c r="P326" s="703">
        <f t="shared" ca="1" si="4"/>
        <v>0</v>
      </c>
      <c r="Q326" s="466"/>
      <c r="R326" s="467"/>
      <c r="S326" s="297"/>
      <c r="T326" s="297"/>
      <c r="U326" s="297"/>
      <c r="V326" s="297"/>
      <c r="W326" s="467"/>
    </row>
    <row r="327" spans="1:23" ht="14" customHeight="1" x14ac:dyDescent="0.25">
      <c r="A327" s="332"/>
      <c r="B327" s="461"/>
      <c r="C327" s="686"/>
      <c r="H327" s="686"/>
      <c r="I327" s="686"/>
      <c r="J327" s="686"/>
      <c r="K327" s="686"/>
      <c r="L327" s="729" t="s">
        <v>85</v>
      </c>
      <c r="M327" s="281" t="s">
        <v>10</v>
      </c>
      <c r="N327" s="702" t="s">
        <v>385</v>
      </c>
      <c r="O327" s="703">
        <f ca="1">IF(VLOOKUP($N327,Data!$C:$H,1,TRUE)=$N327,VLOOKUP($N327,Data!$C:$H,6,TRUE),NA())</f>
        <v>0</v>
      </c>
      <c r="P327" s="703">
        <f t="shared" ca="1" si="4"/>
        <v>0</v>
      </c>
      <c r="Q327" s="466"/>
      <c r="R327" s="467"/>
      <c r="S327" s="297"/>
      <c r="T327" s="297"/>
      <c r="U327" s="297"/>
      <c r="V327" s="297"/>
      <c r="W327" s="467"/>
    </row>
    <row r="328" spans="1:23" ht="14" customHeight="1" x14ac:dyDescent="0.25">
      <c r="A328" s="332"/>
      <c r="B328" s="461"/>
      <c r="C328" s="686"/>
      <c r="H328" s="686"/>
      <c r="I328" s="686"/>
      <c r="J328" s="686"/>
      <c r="K328" s="686"/>
      <c r="L328" s="729" t="s">
        <v>85</v>
      </c>
      <c r="M328" s="281" t="s">
        <v>11</v>
      </c>
      <c r="N328" s="702" t="s">
        <v>386</v>
      </c>
      <c r="O328" s="703">
        <f ca="1">IF(VLOOKUP($N328,Data!$C:$H,1,TRUE)=$N328,VLOOKUP($N328,Data!$C:$H,6,TRUE),NA())</f>
        <v>0</v>
      </c>
      <c r="P328" s="703">
        <f t="shared" ca="1" si="4"/>
        <v>0</v>
      </c>
      <c r="Q328" s="466"/>
      <c r="R328" s="467"/>
      <c r="S328" s="297"/>
      <c r="T328" s="297"/>
      <c r="U328" s="297"/>
      <c r="V328" s="297"/>
      <c r="W328" s="467"/>
    </row>
    <row r="329" spans="1:23" ht="14" customHeight="1" x14ac:dyDescent="0.25">
      <c r="A329" s="332"/>
      <c r="B329" s="461"/>
      <c r="C329" s="686"/>
      <c r="H329" s="686"/>
      <c r="I329" s="686"/>
      <c r="J329" s="686"/>
      <c r="K329" s="686"/>
      <c r="L329" s="729" t="s">
        <v>85</v>
      </c>
      <c r="M329" s="281" t="s">
        <v>12</v>
      </c>
      <c r="N329" s="702" t="s">
        <v>387</v>
      </c>
      <c r="O329" s="703">
        <f ca="1">IF(VLOOKUP($N329,Data!$C:$H,1,TRUE)=$N329,VLOOKUP($N329,Data!$C:$H,6,TRUE),NA())</f>
        <v>0</v>
      </c>
      <c r="P329" s="703">
        <f t="shared" ca="1" si="4"/>
        <v>0</v>
      </c>
      <c r="Q329" s="466"/>
      <c r="R329" s="467"/>
      <c r="S329" s="297"/>
      <c r="T329" s="297"/>
      <c r="U329" s="297"/>
      <c r="V329" s="297"/>
      <c r="W329" s="467"/>
    </row>
    <row r="330" spans="1:23" ht="14" customHeight="1" x14ac:dyDescent="0.25">
      <c r="A330" s="332"/>
      <c r="B330" s="461"/>
      <c r="C330" s="686"/>
      <c r="H330" s="686"/>
      <c r="I330" s="686"/>
      <c r="J330" s="686"/>
      <c r="K330" s="686"/>
      <c r="L330" s="729" t="s">
        <v>85</v>
      </c>
      <c r="M330" s="281" t="s">
        <v>13</v>
      </c>
      <c r="N330" s="702" t="s">
        <v>388</v>
      </c>
      <c r="O330" s="703">
        <f ca="1">IF(VLOOKUP($N330,Data!$C:$H,1,TRUE)=$N330,VLOOKUP($N330,Data!$C:$H,6,TRUE),NA())</f>
        <v>0</v>
      </c>
      <c r="P330" s="703">
        <f t="shared" ref="P330:P393" ca="1" si="5">VLOOKUP($M330, INDIRECT("'"&amp;$L330&amp;"'!"&amp;"$D:$J"), 7,FALSE)</f>
        <v>0</v>
      </c>
      <c r="Q330" s="466"/>
      <c r="R330" s="467"/>
      <c r="S330" s="297"/>
      <c r="T330" s="297"/>
      <c r="U330" s="297"/>
      <c r="V330" s="297"/>
      <c r="W330" s="467"/>
    </row>
    <row r="331" spans="1:23" ht="14" customHeight="1" x14ac:dyDescent="0.25">
      <c r="A331" s="332"/>
      <c r="B331" s="461"/>
      <c r="C331" s="686"/>
      <c r="H331" s="686"/>
      <c r="I331" s="686"/>
      <c r="J331" s="686"/>
      <c r="K331" s="686"/>
      <c r="L331" s="729" t="s">
        <v>85</v>
      </c>
      <c r="M331" s="281" t="s">
        <v>14</v>
      </c>
      <c r="N331" s="702" t="s">
        <v>389</v>
      </c>
      <c r="O331" s="703">
        <f ca="1">IF(VLOOKUP($N331,Data!$C:$H,1,TRUE)=$N331,VLOOKUP($N331,Data!$C:$H,6,TRUE),NA())</f>
        <v>0</v>
      </c>
      <c r="P331" s="703">
        <f t="shared" ca="1" si="5"/>
        <v>0</v>
      </c>
      <c r="Q331" s="466"/>
      <c r="R331" s="467"/>
      <c r="S331" s="297"/>
      <c r="T331" s="297"/>
      <c r="U331" s="297"/>
      <c r="V331" s="297"/>
      <c r="W331" s="467"/>
    </row>
    <row r="332" spans="1:23" ht="14" customHeight="1" x14ac:dyDescent="0.25">
      <c r="A332" s="332"/>
      <c r="B332" s="461"/>
      <c r="C332" s="686"/>
      <c r="H332" s="686"/>
      <c r="I332" s="686"/>
      <c r="J332" s="686"/>
      <c r="K332" s="686"/>
      <c r="L332" s="729" t="s">
        <v>85</v>
      </c>
      <c r="M332" s="281" t="s">
        <v>15</v>
      </c>
      <c r="N332" s="702" t="s">
        <v>390</v>
      </c>
      <c r="O332" s="703">
        <f ca="1">IF(VLOOKUP($N332,Data!$C:$H,1,TRUE)=$N332,VLOOKUP($N332,Data!$C:$H,6,TRUE),NA())</f>
        <v>0</v>
      </c>
      <c r="P332" s="703">
        <f t="shared" ca="1" si="5"/>
        <v>0</v>
      </c>
      <c r="Q332" s="466"/>
      <c r="R332" s="467"/>
      <c r="S332" s="297"/>
      <c r="T332" s="297"/>
      <c r="U332" s="297"/>
      <c r="V332" s="297"/>
      <c r="W332" s="467"/>
    </row>
    <row r="333" spans="1:23" ht="14" customHeight="1" x14ac:dyDescent="0.25">
      <c r="A333" s="332"/>
      <c r="B333" s="461"/>
      <c r="C333" s="686"/>
      <c r="H333" s="686"/>
      <c r="I333" s="686"/>
      <c r="J333" s="686"/>
      <c r="K333" s="686"/>
      <c r="L333" s="729" t="s">
        <v>85</v>
      </c>
      <c r="M333" s="281" t="s">
        <v>20</v>
      </c>
      <c r="N333" s="702" t="s">
        <v>391</v>
      </c>
      <c r="O333" s="703">
        <f ca="1">IF(VLOOKUP($N333,Data!$C:$H,1,TRUE)=$N333,VLOOKUP($N333,Data!$C:$H,6,TRUE),NA())</f>
        <v>0</v>
      </c>
      <c r="P333" s="703">
        <f t="shared" ca="1" si="5"/>
        <v>0</v>
      </c>
      <c r="Q333" s="466"/>
      <c r="R333" s="467"/>
      <c r="S333" s="297"/>
      <c r="T333" s="297"/>
      <c r="U333" s="297"/>
      <c r="V333" s="297"/>
      <c r="W333" s="467"/>
    </row>
    <row r="334" spans="1:23" ht="14" customHeight="1" x14ac:dyDescent="0.25">
      <c r="A334" s="332"/>
      <c r="B334" s="461"/>
      <c r="C334" s="686"/>
      <c r="H334" s="686"/>
      <c r="I334" s="686"/>
      <c r="J334" s="686"/>
      <c r="K334" s="686"/>
      <c r="L334" s="729" t="s">
        <v>85</v>
      </c>
      <c r="M334" s="281" t="s">
        <v>21</v>
      </c>
      <c r="N334" s="702" t="s">
        <v>392</v>
      </c>
      <c r="O334" s="703">
        <f ca="1">IF(VLOOKUP($N334,Data!$C:$H,1,TRUE)=$N334,VLOOKUP($N334,Data!$C:$H,6,TRUE),NA())</f>
        <v>0</v>
      </c>
      <c r="P334" s="703">
        <f t="shared" ca="1" si="5"/>
        <v>0</v>
      </c>
      <c r="Q334" s="466"/>
      <c r="R334" s="467"/>
      <c r="S334" s="297"/>
      <c r="T334" s="297"/>
      <c r="U334" s="297"/>
      <c r="V334" s="297"/>
      <c r="W334" s="467"/>
    </row>
    <row r="335" spans="1:23" ht="14" customHeight="1" x14ac:dyDescent="0.25">
      <c r="A335" s="332"/>
      <c r="B335" s="461"/>
      <c r="C335" s="686"/>
      <c r="H335" s="686"/>
      <c r="I335" s="686"/>
      <c r="J335" s="686"/>
      <c r="K335" s="686"/>
      <c r="L335" s="729" t="s">
        <v>85</v>
      </c>
      <c r="M335" s="281" t="s">
        <v>22</v>
      </c>
      <c r="N335" s="702" t="s">
        <v>393</v>
      </c>
      <c r="O335" s="703">
        <f ca="1">IF(VLOOKUP($N335,Data!$C:$H,1,TRUE)=$N335,VLOOKUP($N335,Data!$C:$H,6,TRUE),NA())</f>
        <v>0</v>
      </c>
      <c r="P335" s="703">
        <f t="shared" ca="1" si="5"/>
        <v>0</v>
      </c>
      <c r="Q335" s="466"/>
      <c r="R335" s="467"/>
      <c r="S335" s="297"/>
      <c r="T335" s="297"/>
      <c r="U335" s="297"/>
      <c r="V335" s="297"/>
      <c r="W335" s="467"/>
    </row>
    <row r="336" spans="1:23" ht="14" customHeight="1" x14ac:dyDescent="0.25">
      <c r="A336" s="332"/>
      <c r="B336" s="461"/>
      <c r="C336" s="686"/>
      <c r="H336" s="686"/>
      <c r="I336" s="686"/>
      <c r="J336" s="686"/>
      <c r="K336" s="686"/>
      <c r="L336" s="729" t="s">
        <v>85</v>
      </c>
      <c r="M336" s="281" t="s">
        <v>23</v>
      </c>
      <c r="N336" s="702" t="s">
        <v>394</v>
      </c>
      <c r="O336" s="703">
        <f ca="1">IF(VLOOKUP($N336,Data!$C:$H,1,TRUE)=$N336,VLOOKUP($N336,Data!$C:$H,6,TRUE),NA())</f>
        <v>0</v>
      </c>
      <c r="P336" s="703">
        <f t="shared" ca="1" si="5"/>
        <v>0</v>
      </c>
      <c r="Q336" s="466"/>
      <c r="R336" s="467"/>
      <c r="S336" s="297"/>
      <c r="T336" s="297"/>
      <c r="U336" s="297"/>
      <c r="V336" s="297"/>
      <c r="W336" s="467"/>
    </row>
    <row r="337" spans="1:23" ht="14" customHeight="1" x14ac:dyDescent="0.25">
      <c r="A337" s="332"/>
      <c r="B337" s="461"/>
      <c r="C337" s="686"/>
      <c r="H337" s="686"/>
      <c r="I337" s="686"/>
      <c r="J337" s="686"/>
      <c r="K337" s="686"/>
      <c r="L337" s="729" t="s">
        <v>85</v>
      </c>
      <c r="M337" s="281" t="s">
        <v>24</v>
      </c>
      <c r="N337" s="702" t="s">
        <v>395</v>
      </c>
      <c r="O337" s="703">
        <f ca="1">IF(VLOOKUP($N337,Data!$C:$H,1,TRUE)=$N337,VLOOKUP($N337,Data!$C:$H,6,TRUE),NA())</f>
        <v>0</v>
      </c>
      <c r="P337" s="703">
        <f t="shared" ca="1" si="5"/>
        <v>0</v>
      </c>
      <c r="Q337" s="466"/>
      <c r="R337" s="467"/>
      <c r="S337" s="297"/>
      <c r="T337" s="297"/>
      <c r="U337" s="297"/>
      <c r="V337" s="297"/>
      <c r="W337" s="467"/>
    </row>
    <row r="338" spans="1:23" ht="14" customHeight="1" x14ac:dyDescent="0.25">
      <c r="A338" s="332"/>
      <c r="B338" s="461"/>
      <c r="C338" s="686"/>
      <c r="H338" s="686"/>
      <c r="I338" s="686"/>
      <c r="J338" s="686"/>
      <c r="K338" s="686"/>
      <c r="L338" s="729" t="s">
        <v>85</v>
      </c>
      <c r="M338" s="281" t="s">
        <v>112</v>
      </c>
      <c r="N338" s="702" t="s">
        <v>396</v>
      </c>
      <c r="O338" s="703">
        <f ca="1">IF(VLOOKUP($N338,Data!$C:$H,1,TRUE)=$N338,VLOOKUP($N338,Data!$C:$H,6,TRUE),NA())</f>
        <v>0</v>
      </c>
      <c r="P338" s="703">
        <f t="shared" ca="1" si="5"/>
        <v>0</v>
      </c>
      <c r="Q338" s="466"/>
      <c r="R338" s="467"/>
      <c r="S338" s="297"/>
      <c r="T338" s="297"/>
      <c r="U338" s="297"/>
      <c r="V338" s="297"/>
      <c r="W338" s="467"/>
    </row>
    <row r="339" spans="1:23" ht="14" customHeight="1" x14ac:dyDescent="0.25">
      <c r="A339" s="332"/>
      <c r="B339" s="461"/>
      <c r="C339" s="686"/>
      <c r="H339" s="686"/>
      <c r="I339" s="686"/>
      <c r="J339" s="686"/>
      <c r="K339" s="686"/>
      <c r="L339" s="729" t="s">
        <v>85</v>
      </c>
      <c r="M339" s="281" t="s">
        <v>176</v>
      </c>
      <c r="N339" s="702" t="s">
        <v>397</v>
      </c>
      <c r="O339" s="703">
        <f ca="1">IF(VLOOKUP($N339,Data!$C:$H,1,TRUE)=$N339,VLOOKUP($N339,Data!$C:$H,6,TRUE),NA())</f>
        <v>0</v>
      </c>
      <c r="P339" s="703">
        <f t="shared" ca="1" si="5"/>
        <v>0</v>
      </c>
      <c r="Q339" s="466"/>
      <c r="R339" s="467"/>
      <c r="S339" s="297"/>
      <c r="T339" s="297"/>
      <c r="U339" s="297"/>
      <c r="V339" s="297"/>
      <c r="W339" s="467"/>
    </row>
    <row r="340" spans="1:23" ht="14" customHeight="1" x14ac:dyDescent="0.25">
      <c r="A340" s="332"/>
      <c r="B340" s="461"/>
      <c r="C340" s="686"/>
      <c r="H340" s="686"/>
      <c r="I340" s="686"/>
      <c r="J340" s="686"/>
      <c r="K340" s="686"/>
      <c r="L340" s="729" t="s">
        <v>85</v>
      </c>
      <c r="M340" s="281" t="s">
        <v>178</v>
      </c>
      <c r="N340" s="702" t="s">
        <v>398</v>
      </c>
      <c r="O340" s="703">
        <f ca="1">IF(VLOOKUP($N340,Data!$C:$H,1,TRUE)=$N340,VLOOKUP($N340,Data!$C:$H,6,TRUE),NA())</f>
        <v>0</v>
      </c>
      <c r="P340" s="703">
        <f t="shared" ca="1" si="5"/>
        <v>0</v>
      </c>
      <c r="Q340" s="466"/>
      <c r="R340" s="467"/>
      <c r="S340" s="297"/>
      <c r="T340" s="297"/>
      <c r="U340" s="297"/>
      <c r="V340" s="297"/>
      <c r="W340" s="467"/>
    </row>
    <row r="341" spans="1:23" ht="14" customHeight="1" x14ac:dyDescent="0.25">
      <c r="A341" s="332"/>
      <c r="B341" s="461"/>
      <c r="C341" s="686"/>
      <c r="H341" s="686"/>
      <c r="I341" s="686"/>
      <c r="J341" s="686"/>
      <c r="K341" s="686"/>
      <c r="L341" s="729" t="s">
        <v>85</v>
      </c>
      <c r="M341" s="281" t="s">
        <v>209</v>
      </c>
      <c r="N341" s="702" t="s">
        <v>399</v>
      </c>
      <c r="O341" s="703">
        <f ca="1">IF(VLOOKUP($N341,Data!$C:$H,1,TRUE)=$N341,VLOOKUP($N341,Data!$C:$H,6,TRUE),NA())</f>
        <v>0</v>
      </c>
      <c r="P341" s="703">
        <f t="shared" ca="1" si="5"/>
        <v>0</v>
      </c>
      <c r="Q341" s="466"/>
      <c r="R341" s="467"/>
      <c r="S341" s="297"/>
      <c r="T341" s="297"/>
      <c r="U341" s="297"/>
      <c r="V341" s="297"/>
      <c r="W341" s="467"/>
    </row>
    <row r="342" spans="1:23" ht="14" customHeight="1" x14ac:dyDescent="0.25">
      <c r="A342" s="332"/>
      <c r="B342" s="461"/>
      <c r="C342" s="686"/>
      <c r="H342" s="686"/>
      <c r="I342" s="686"/>
      <c r="J342" s="686"/>
      <c r="K342" s="686"/>
      <c r="L342" s="729" t="s">
        <v>85</v>
      </c>
      <c r="M342" s="281" t="s">
        <v>211</v>
      </c>
      <c r="N342" s="702" t="s">
        <v>400</v>
      </c>
      <c r="O342" s="703">
        <f ca="1">IF(VLOOKUP($N342,Data!$C:$H,1,TRUE)=$N342,VLOOKUP($N342,Data!$C:$H,6,TRUE),NA())</f>
        <v>0</v>
      </c>
      <c r="P342" s="703">
        <f t="shared" ca="1" si="5"/>
        <v>0</v>
      </c>
      <c r="Q342" s="466"/>
      <c r="R342" s="467"/>
      <c r="S342" s="297"/>
      <c r="T342" s="297"/>
      <c r="U342" s="297"/>
      <c r="V342" s="297"/>
      <c r="W342" s="467"/>
    </row>
    <row r="343" spans="1:23" ht="14" customHeight="1" x14ac:dyDescent="0.25">
      <c r="A343" s="332"/>
      <c r="B343" s="461"/>
      <c r="C343" s="686"/>
      <c r="H343" s="686"/>
      <c r="I343" s="686"/>
      <c r="J343" s="686"/>
      <c r="K343" s="686"/>
      <c r="L343" s="729" t="s">
        <v>85</v>
      </c>
      <c r="M343" s="281" t="s">
        <v>213</v>
      </c>
      <c r="N343" s="702" t="s">
        <v>401</v>
      </c>
      <c r="O343" s="703">
        <f ca="1">IF(VLOOKUP($N343,Data!$C:$H,1,TRUE)=$N343,VLOOKUP($N343,Data!$C:$H,6,TRUE),NA())</f>
        <v>0</v>
      </c>
      <c r="P343" s="703">
        <f t="shared" ca="1" si="5"/>
        <v>0</v>
      </c>
      <c r="Q343" s="466"/>
      <c r="R343" s="467"/>
      <c r="S343" s="297"/>
      <c r="T343" s="297"/>
      <c r="U343" s="297"/>
      <c r="V343" s="297"/>
      <c r="W343" s="467"/>
    </row>
    <row r="344" spans="1:23" ht="14" customHeight="1" x14ac:dyDescent="0.25">
      <c r="A344" s="332"/>
      <c r="B344" s="461"/>
      <c r="C344" s="686"/>
      <c r="H344" s="686"/>
      <c r="I344" s="686"/>
      <c r="J344" s="686"/>
      <c r="K344" s="686"/>
      <c r="L344" s="729" t="s">
        <v>85</v>
      </c>
      <c r="M344" s="281" t="s">
        <v>215</v>
      </c>
      <c r="N344" s="702" t="s">
        <v>402</v>
      </c>
      <c r="O344" s="703">
        <f ca="1">IF(VLOOKUP($N344,Data!$C:$H,1,TRUE)=$N344,VLOOKUP($N344,Data!$C:$H,6,TRUE),NA())</f>
        <v>0</v>
      </c>
      <c r="P344" s="703">
        <f t="shared" ca="1" si="5"/>
        <v>0</v>
      </c>
      <c r="Q344" s="466"/>
      <c r="R344" s="467"/>
      <c r="S344" s="297"/>
      <c r="T344" s="297"/>
      <c r="U344" s="297"/>
      <c r="V344" s="297"/>
      <c r="W344" s="467"/>
    </row>
    <row r="345" spans="1:23" ht="14" customHeight="1" x14ac:dyDescent="0.25">
      <c r="A345" s="332"/>
      <c r="B345" s="461"/>
      <c r="C345" s="686"/>
      <c r="H345" s="686"/>
      <c r="I345" s="686"/>
      <c r="J345" s="686"/>
      <c r="K345" s="686"/>
      <c r="L345" s="729" t="s">
        <v>85</v>
      </c>
      <c r="M345" s="281" t="s">
        <v>25</v>
      </c>
      <c r="N345" s="702" t="s">
        <v>403</v>
      </c>
      <c r="O345" s="703">
        <f ca="1">IF(VLOOKUP($N345,Data!$C:$H,1,TRUE)=$N345,VLOOKUP($N345,Data!$C:$H,6,TRUE),NA())</f>
        <v>0</v>
      </c>
      <c r="P345" s="703">
        <f t="shared" ca="1" si="5"/>
        <v>0</v>
      </c>
      <c r="Q345" s="466"/>
      <c r="R345" s="467"/>
      <c r="S345" s="297"/>
      <c r="T345" s="297"/>
      <c r="U345" s="297"/>
      <c r="V345" s="297"/>
      <c r="W345" s="467"/>
    </row>
    <row r="346" spans="1:23" ht="14" customHeight="1" x14ac:dyDescent="0.25">
      <c r="A346" s="332"/>
      <c r="B346" s="461"/>
      <c r="C346" s="686"/>
      <c r="H346" s="686"/>
      <c r="I346" s="686"/>
      <c r="J346" s="686"/>
      <c r="K346" s="686"/>
      <c r="L346" s="729" t="s">
        <v>85</v>
      </c>
      <c r="M346" s="281" t="s">
        <v>26</v>
      </c>
      <c r="N346" s="702" t="s">
        <v>404</v>
      </c>
      <c r="O346" s="703">
        <f ca="1">IF(VLOOKUP($N346,Data!$C:$H,1,TRUE)=$N346,VLOOKUP($N346,Data!$C:$H,6,TRUE),NA())</f>
        <v>0</v>
      </c>
      <c r="P346" s="703">
        <f t="shared" ca="1" si="5"/>
        <v>0</v>
      </c>
      <c r="Q346" s="466"/>
      <c r="R346" s="467"/>
      <c r="S346" s="297"/>
      <c r="T346" s="297"/>
      <c r="U346" s="297"/>
      <c r="V346" s="297"/>
      <c r="W346" s="467"/>
    </row>
    <row r="347" spans="1:23" ht="14" customHeight="1" x14ac:dyDescent="0.25">
      <c r="A347" s="332"/>
      <c r="B347" s="461"/>
      <c r="C347" s="686"/>
      <c r="H347" s="686"/>
      <c r="I347" s="686"/>
      <c r="J347" s="686"/>
      <c r="K347" s="686"/>
      <c r="L347" s="729" t="s">
        <v>85</v>
      </c>
      <c r="M347" s="281" t="s">
        <v>27</v>
      </c>
      <c r="N347" s="702" t="s">
        <v>405</v>
      </c>
      <c r="O347" s="703">
        <f ca="1">IF(VLOOKUP($N347,Data!$C:$H,1,TRUE)=$N347,VLOOKUP($N347,Data!$C:$H,6,TRUE),NA())</f>
        <v>0</v>
      </c>
      <c r="P347" s="703">
        <f t="shared" ca="1" si="5"/>
        <v>0</v>
      </c>
      <c r="Q347" s="466"/>
      <c r="R347" s="467"/>
      <c r="S347" s="297"/>
      <c r="T347" s="297"/>
      <c r="U347" s="297"/>
      <c r="V347" s="297"/>
      <c r="W347" s="467"/>
    </row>
    <row r="348" spans="1:23" ht="14" customHeight="1" x14ac:dyDescent="0.25">
      <c r="A348" s="332"/>
      <c r="B348" s="461"/>
      <c r="C348" s="686"/>
      <c r="H348" s="686"/>
      <c r="I348" s="686"/>
      <c r="J348" s="686"/>
      <c r="K348" s="686"/>
      <c r="L348" s="729" t="s">
        <v>85</v>
      </c>
      <c r="M348" s="281" t="s">
        <v>28</v>
      </c>
      <c r="N348" s="702" t="s">
        <v>406</v>
      </c>
      <c r="O348" s="703">
        <f ca="1">IF(VLOOKUP($N348,Data!$C:$H,1,TRUE)=$N348,VLOOKUP($N348,Data!$C:$H,6,TRUE),NA())</f>
        <v>0</v>
      </c>
      <c r="P348" s="703">
        <f t="shared" ca="1" si="5"/>
        <v>0</v>
      </c>
      <c r="Q348" s="466"/>
      <c r="R348" s="467"/>
      <c r="S348" s="297"/>
      <c r="T348" s="297"/>
      <c r="U348" s="297"/>
      <c r="V348" s="297"/>
      <c r="W348" s="467"/>
    </row>
    <row r="349" spans="1:23" ht="14" customHeight="1" x14ac:dyDescent="0.25">
      <c r="A349" s="332"/>
      <c r="B349" s="461"/>
      <c r="C349" s="686"/>
      <c r="H349" s="686"/>
      <c r="I349" s="686"/>
      <c r="J349" s="686"/>
      <c r="K349" s="686"/>
      <c r="L349" s="729" t="s">
        <v>85</v>
      </c>
      <c r="M349" s="281" t="s">
        <v>29</v>
      </c>
      <c r="N349" s="702" t="s">
        <v>407</v>
      </c>
      <c r="O349" s="703">
        <f ca="1">IF(VLOOKUP($N349,Data!$C:$H,1,TRUE)=$N349,VLOOKUP($N349,Data!$C:$H,6,TRUE),NA())</f>
        <v>0</v>
      </c>
      <c r="P349" s="703">
        <f t="shared" ca="1" si="5"/>
        <v>0</v>
      </c>
      <c r="Q349" s="466"/>
      <c r="R349" s="467"/>
      <c r="S349" s="297"/>
      <c r="T349" s="297"/>
      <c r="U349" s="297"/>
      <c r="V349" s="297"/>
      <c r="W349" s="467"/>
    </row>
    <row r="350" spans="1:23" ht="14" customHeight="1" x14ac:dyDescent="0.25">
      <c r="A350" s="332"/>
      <c r="B350" s="461"/>
      <c r="C350" s="686"/>
      <c r="H350" s="686"/>
      <c r="I350" s="686"/>
      <c r="J350" s="686"/>
      <c r="K350" s="686"/>
      <c r="L350" s="729" t="s">
        <v>85</v>
      </c>
      <c r="M350" s="281" t="s">
        <v>30</v>
      </c>
      <c r="N350" s="702" t="s">
        <v>408</v>
      </c>
      <c r="O350" s="703">
        <f ca="1">IF(VLOOKUP($N350,Data!$C:$H,1,TRUE)=$N350,VLOOKUP($N350,Data!$C:$H,6,TRUE),NA())</f>
        <v>0</v>
      </c>
      <c r="P350" s="703">
        <f t="shared" ca="1" si="5"/>
        <v>0</v>
      </c>
      <c r="Q350" s="466"/>
      <c r="R350" s="467"/>
      <c r="S350" s="297"/>
      <c r="T350" s="297"/>
      <c r="U350" s="297"/>
      <c r="V350" s="297"/>
      <c r="W350" s="467"/>
    </row>
    <row r="351" spans="1:23" ht="14" customHeight="1" x14ac:dyDescent="0.25">
      <c r="A351" s="332"/>
      <c r="B351" s="461"/>
      <c r="C351" s="686"/>
      <c r="H351" s="686"/>
      <c r="I351" s="686"/>
      <c r="J351" s="686"/>
      <c r="K351" s="686"/>
      <c r="L351" s="729" t="s">
        <v>85</v>
      </c>
      <c r="M351" s="281" t="s">
        <v>31</v>
      </c>
      <c r="N351" s="702" t="s">
        <v>409</v>
      </c>
      <c r="O351" s="703">
        <f ca="1">IF(VLOOKUP($N351,Data!$C:$H,1,TRUE)=$N351,VLOOKUP($N351,Data!$C:$H,6,TRUE),NA())</f>
        <v>0</v>
      </c>
      <c r="P351" s="703">
        <f t="shared" ca="1" si="5"/>
        <v>0</v>
      </c>
      <c r="Q351" s="466"/>
      <c r="R351" s="467"/>
      <c r="S351" s="297"/>
      <c r="T351" s="297"/>
      <c r="U351" s="297"/>
      <c r="V351" s="297"/>
      <c r="W351" s="467"/>
    </row>
    <row r="352" spans="1:23" ht="14" customHeight="1" x14ac:dyDescent="0.25">
      <c r="A352" s="332"/>
      <c r="B352" s="461"/>
      <c r="C352" s="686"/>
      <c r="H352" s="686"/>
      <c r="I352" s="686"/>
      <c r="J352" s="686"/>
      <c r="K352" s="686"/>
      <c r="L352" s="729" t="s">
        <v>85</v>
      </c>
      <c r="M352" s="281" t="s">
        <v>247</v>
      </c>
      <c r="N352" s="702" t="s">
        <v>410</v>
      </c>
      <c r="O352" s="703">
        <f ca="1">IF(VLOOKUP($N352,Data!$C:$H,1,TRUE)=$N352,VLOOKUP($N352,Data!$C:$H,6,TRUE),NA())</f>
        <v>0</v>
      </c>
      <c r="P352" s="703">
        <f t="shared" ca="1" si="5"/>
        <v>0</v>
      </c>
      <c r="Q352" s="466"/>
      <c r="R352" s="467"/>
      <c r="S352" s="297"/>
      <c r="T352" s="297"/>
      <c r="U352" s="297"/>
      <c r="V352" s="297"/>
      <c r="W352" s="467"/>
    </row>
    <row r="353" spans="1:23" ht="14" customHeight="1" x14ac:dyDescent="0.25">
      <c r="A353" s="332"/>
      <c r="B353" s="461"/>
      <c r="C353" s="686"/>
      <c r="L353" s="729" t="s">
        <v>85</v>
      </c>
      <c r="M353" s="281" t="s">
        <v>280</v>
      </c>
      <c r="N353" s="702" t="s">
        <v>411</v>
      </c>
      <c r="O353" s="703">
        <f ca="1">IF(VLOOKUP($N353,Data!$C:$H,1,TRUE)=$N353,VLOOKUP($N353,Data!$C:$H,6,TRUE),NA())</f>
        <v>0</v>
      </c>
      <c r="P353" s="703">
        <f t="shared" ca="1" si="5"/>
        <v>0</v>
      </c>
      <c r="Q353" s="466"/>
      <c r="R353" s="467"/>
      <c r="S353" s="297"/>
      <c r="T353" s="297"/>
      <c r="U353" s="297"/>
      <c r="V353" s="297"/>
      <c r="W353" s="467"/>
    </row>
    <row r="354" spans="1:23" ht="14" customHeight="1" x14ac:dyDescent="0.25">
      <c r="A354" s="332"/>
      <c r="B354" s="461"/>
      <c r="C354" s="686"/>
      <c r="L354" s="729" t="s">
        <v>85</v>
      </c>
      <c r="M354" s="281" t="s">
        <v>282</v>
      </c>
      <c r="N354" s="702" t="s">
        <v>412</v>
      </c>
      <c r="O354" s="703">
        <f ca="1">IF(VLOOKUP($N354,Data!$C:$H,1,TRUE)=$N354,VLOOKUP($N354,Data!$C:$H,6,TRUE),NA())</f>
        <v>0</v>
      </c>
      <c r="P354" s="703">
        <f t="shared" ca="1" si="5"/>
        <v>0</v>
      </c>
      <c r="Q354" s="466"/>
      <c r="R354" s="467"/>
      <c r="S354" s="297"/>
      <c r="T354" s="297"/>
      <c r="U354" s="297"/>
      <c r="V354" s="297"/>
      <c r="W354" s="467"/>
    </row>
    <row r="355" spans="1:23" ht="14" customHeight="1" x14ac:dyDescent="0.25">
      <c r="A355" s="332"/>
      <c r="B355" s="461"/>
      <c r="C355" s="686"/>
      <c r="L355" s="729" t="s">
        <v>85</v>
      </c>
      <c r="M355" s="281" t="s">
        <v>414</v>
      </c>
      <c r="N355" s="702" t="s">
        <v>413</v>
      </c>
      <c r="O355" s="703">
        <f ca="1">IF(VLOOKUP($N355,Data!$C:$H,1,TRUE)=$N355,VLOOKUP($N355,Data!$C:$H,6,TRUE),NA())</f>
        <v>0</v>
      </c>
      <c r="P355" s="703">
        <f t="shared" ca="1" si="5"/>
        <v>0</v>
      </c>
      <c r="Q355" s="466"/>
      <c r="R355" s="467"/>
      <c r="S355" s="297"/>
      <c r="T355" s="297"/>
      <c r="U355" s="297"/>
      <c r="V355" s="297"/>
      <c r="W355" s="467"/>
    </row>
    <row r="356" spans="1:23" ht="14" customHeight="1" x14ac:dyDescent="0.25">
      <c r="A356" s="332"/>
      <c r="B356" s="461"/>
      <c r="C356" s="686"/>
      <c r="L356" s="729" t="s">
        <v>85</v>
      </c>
      <c r="M356" s="281" t="s">
        <v>416</v>
      </c>
      <c r="N356" s="702" t="s">
        <v>415</v>
      </c>
      <c r="O356" s="703">
        <f ca="1">IF(VLOOKUP($N356,Data!$C:$H,1,TRUE)=$N356,VLOOKUP($N356,Data!$C:$H,6,TRUE),NA())</f>
        <v>0</v>
      </c>
      <c r="P356" s="703">
        <f t="shared" ca="1" si="5"/>
        <v>0</v>
      </c>
      <c r="Q356" s="466"/>
      <c r="R356" s="467"/>
      <c r="S356" s="297"/>
      <c r="T356" s="297"/>
      <c r="U356" s="297"/>
      <c r="V356" s="297"/>
      <c r="W356" s="467"/>
    </row>
    <row r="357" spans="1:23" ht="14" customHeight="1" x14ac:dyDescent="0.25">
      <c r="A357" s="332"/>
      <c r="B357" s="461"/>
      <c r="C357" s="686"/>
      <c r="L357" s="729" t="s">
        <v>85</v>
      </c>
      <c r="M357" s="281" t="s">
        <v>418</v>
      </c>
      <c r="N357" s="702" t="s">
        <v>417</v>
      </c>
      <c r="O357" s="703">
        <f ca="1">IF(VLOOKUP($N357,Data!$C:$H,1,TRUE)=$N357,VLOOKUP($N357,Data!$C:$H,6,TRUE),NA())</f>
        <v>0</v>
      </c>
      <c r="P357" s="703">
        <f t="shared" ca="1" si="5"/>
        <v>0</v>
      </c>
      <c r="Q357" s="466"/>
      <c r="R357" s="467"/>
      <c r="S357" s="297"/>
      <c r="T357" s="297"/>
      <c r="U357" s="297"/>
      <c r="V357" s="297"/>
      <c r="W357" s="467"/>
    </row>
    <row r="358" spans="1:23" ht="14" customHeight="1" x14ac:dyDescent="0.25">
      <c r="A358" s="332"/>
      <c r="B358" s="461"/>
      <c r="C358" s="686"/>
      <c r="L358" s="729" t="s">
        <v>85</v>
      </c>
      <c r="M358" s="281" t="s">
        <v>126</v>
      </c>
      <c r="N358" s="702" t="s">
        <v>419</v>
      </c>
      <c r="O358" s="703">
        <f ca="1">IF(VLOOKUP($N358,Data!$C:$H,1,TRUE)=$N358,VLOOKUP($N358,Data!$C:$H,6,TRUE),NA())</f>
        <v>0</v>
      </c>
      <c r="P358" s="703">
        <f t="shared" ca="1" si="5"/>
        <v>0</v>
      </c>
      <c r="Q358" s="466"/>
      <c r="R358" s="467"/>
      <c r="S358" s="297"/>
      <c r="T358" s="297"/>
      <c r="U358" s="297"/>
      <c r="V358" s="297"/>
      <c r="W358" s="467"/>
    </row>
    <row r="359" spans="1:23" ht="14" customHeight="1" x14ac:dyDescent="0.25">
      <c r="A359" s="332"/>
      <c r="B359" s="461"/>
      <c r="C359" s="686"/>
      <c r="L359" s="729" t="s">
        <v>85</v>
      </c>
      <c r="M359" s="281" t="s">
        <v>129</v>
      </c>
      <c r="N359" s="702" t="s">
        <v>420</v>
      </c>
      <c r="O359" s="703">
        <f ca="1">IF(VLOOKUP($N359,Data!$C:$H,1,TRUE)=$N359,VLOOKUP($N359,Data!$C:$H,6,TRUE),NA())</f>
        <v>0</v>
      </c>
      <c r="P359" s="703">
        <f t="shared" ca="1" si="5"/>
        <v>0</v>
      </c>
      <c r="Q359" s="466"/>
      <c r="R359" s="467"/>
      <c r="S359" s="297"/>
      <c r="T359" s="297"/>
      <c r="U359" s="297"/>
      <c r="V359" s="297"/>
      <c r="W359" s="467"/>
    </row>
    <row r="360" spans="1:23" ht="14" customHeight="1" x14ac:dyDescent="0.25">
      <c r="A360" s="332"/>
      <c r="B360" s="461"/>
      <c r="C360" s="686"/>
      <c r="L360" s="729" t="s">
        <v>85</v>
      </c>
      <c r="M360" s="281" t="s">
        <v>132</v>
      </c>
      <c r="N360" s="702" t="s">
        <v>421</v>
      </c>
      <c r="O360" s="703">
        <f ca="1">IF(VLOOKUP($N360,Data!$C:$H,1,TRUE)=$N360,VLOOKUP($N360,Data!$C:$H,6,TRUE),NA())</f>
        <v>0</v>
      </c>
      <c r="P360" s="703">
        <f t="shared" ca="1" si="5"/>
        <v>0</v>
      </c>
      <c r="Q360" s="466"/>
      <c r="R360" s="467"/>
      <c r="S360" s="297"/>
      <c r="T360" s="297"/>
      <c r="U360" s="297"/>
      <c r="V360" s="297"/>
      <c r="W360" s="467"/>
    </row>
    <row r="361" spans="1:23" ht="14" customHeight="1" x14ac:dyDescent="0.25">
      <c r="A361" s="332"/>
      <c r="B361" s="461"/>
      <c r="C361" s="686"/>
      <c r="L361" s="729" t="s">
        <v>85</v>
      </c>
      <c r="M361" s="281" t="s">
        <v>135</v>
      </c>
      <c r="N361" s="702" t="s">
        <v>422</v>
      </c>
      <c r="O361" s="703">
        <f ca="1">IF(VLOOKUP($N361,Data!$C:$H,1,TRUE)=$N361,VLOOKUP($N361,Data!$C:$H,6,TRUE),NA())</f>
        <v>0</v>
      </c>
      <c r="P361" s="703">
        <f t="shared" ca="1" si="5"/>
        <v>0</v>
      </c>
      <c r="Q361" s="466"/>
      <c r="R361" s="467"/>
      <c r="S361" s="297"/>
      <c r="T361" s="297"/>
      <c r="U361" s="297"/>
      <c r="V361" s="297"/>
      <c r="W361" s="467"/>
    </row>
    <row r="362" spans="1:23" ht="14" customHeight="1" x14ac:dyDescent="0.25">
      <c r="A362" s="332"/>
      <c r="B362" s="461"/>
      <c r="C362" s="686"/>
      <c r="L362" s="729" t="s">
        <v>85</v>
      </c>
      <c r="M362" s="281" t="s">
        <v>138</v>
      </c>
      <c r="N362" s="702" t="s">
        <v>423</v>
      </c>
      <c r="O362" s="703">
        <f ca="1">IF(VLOOKUP($N362,Data!$C:$H,1,TRUE)=$N362,VLOOKUP($N362,Data!$C:$H,6,TRUE),NA())</f>
        <v>0</v>
      </c>
      <c r="P362" s="703">
        <f t="shared" ca="1" si="5"/>
        <v>0</v>
      </c>
      <c r="Q362" s="466"/>
      <c r="R362" s="467"/>
      <c r="S362" s="297"/>
      <c r="T362" s="297"/>
      <c r="U362" s="297"/>
      <c r="V362" s="297"/>
      <c r="W362" s="467"/>
    </row>
    <row r="363" spans="1:23" ht="14" customHeight="1" x14ac:dyDescent="0.25">
      <c r="A363" s="332"/>
      <c r="B363" s="461"/>
      <c r="C363" s="686"/>
      <c r="L363" s="729" t="s">
        <v>85</v>
      </c>
      <c r="M363" s="281" t="s">
        <v>140</v>
      </c>
      <c r="N363" s="702" t="s">
        <v>424</v>
      </c>
      <c r="O363" s="703">
        <f ca="1">IF(VLOOKUP($N363,Data!$C:$H,1,TRUE)=$N363,VLOOKUP($N363,Data!$C:$H,6,TRUE),NA())</f>
        <v>0</v>
      </c>
      <c r="P363" s="703">
        <f t="shared" ca="1" si="5"/>
        <v>0</v>
      </c>
      <c r="Q363" s="466"/>
      <c r="R363" s="467"/>
      <c r="S363" s="297"/>
      <c r="T363" s="297"/>
      <c r="U363" s="297"/>
      <c r="V363" s="297"/>
      <c r="W363" s="467"/>
    </row>
    <row r="364" spans="1:23" ht="14" customHeight="1" x14ac:dyDescent="0.25">
      <c r="A364" s="332"/>
      <c r="B364" s="461"/>
      <c r="C364" s="686"/>
      <c r="L364" s="729" t="s">
        <v>85</v>
      </c>
      <c r="M364" s="281" t="s">
        <v>255</v>
      </c>
      <c r="N364" s="702" t="s">
        <v>1779</v>
      </c>
      <c r="O364" s="703">
        <f ca="1">IF(VLOOKUP($N364,Data!$C:$H,1,TRUE)=$N364,VLOOKUP($N364,Data!$C:$H,6,TRUE),NA())</f>
        <v>0</v>
      </c>
      <c r="P364" s="703">
        <f t="shared" ca="1" si="5"/>
        <v>0</v>
      </c>
      <c r="Q364" s="466"/>
      <c r="R364" s="467"/>
      <c r="S364" s="297"/>
      <c r="T364" s="297"/>
      <c r="U364" s="297"/>
      <c r="V364" s="297"/>
      <c r="W364" s="467"/>
    </row>
    <row r="365" spans="1:23" ht="14" customHeight="1" x14ac:dyDescent="0.25">
      <c r="A365" s="332"/>
      <c r="B365" s="461"/>
      <c r="C365" s="686"/>
      <c r="L365" s="729" t="s">
        <v>60</v>
      </c>
      <c r="M365" s="281" t="s">
        <v>7</v>
      </c>
      <c r="N365" s="702" t="s">
        <v>425</v>
      </c>
      <c r="O365" s="703">
        <f ca="1">IF(VLOOKUP($N365,Data!$C:$H,1,TRUE)=$N365,VLOOKUP($N365,Data!$C:$H,6,TRUE),NA())</f>
        <v>0</v>
      </c>
      <c r="P365" s="703">
        <f t="shared" ca="1" si="5"/>
        <v>0</v>
      </c>
      <c r="Q365" s="466"/>
      <c r="R365" s="467"/>
      <c r="S365" s="297"/>
      <c r="T365" s="297"/>
      <c r="U365" s="297"/>
      <c r="V365" s="297"/>
      <c r="W365" s="467"/>
    </row>
    <row r="366" spans="1:23" ht="14" customHeight="1" x14ac:dyDescent="0.25">
      <c r="A366" s="332"/>
      <c r="B366" s="461"/>
      <c r="C366" s="686"/>
      <c r="L366" s="730" t="s">
        <v>60</v>
      </c>
      <c r="M366" s="281" t="s">
        <v>9</v>
      </c>
      <c r="N366" s="702" t="s">
        <v>426</v>
      </c>
      <c r="O366" s="703">
        <f ca="1">IF(VLOOKUP($N366,Data!$C:$H,1,TRUE)=$N366,VLOOKUP($N366,Data!$C:$H,6,TRUE),NA())</f>
        <v>0</v>
      </c>
      <c r="P366" s="703">
        <f t="shared" ca="1" si="5"/>
        <v>0</v>
      </c>
      <c r="Q366" s="466"/>
      <c r="R366" s="467"/>
      <c r="S366" s="297"/>
      <c r="T366" s="297"/>
      <c r="U366" s="297"/>
      <c r="V366" s="297"/>
      <c r="W366" s="467"/>
    </row>
    <row r="367" spans="1:23" ht="14" customHeight="1" x14ac:dyDescent="0.25">
      <c r="A367" s="332"/>
      <c r="B367" s="461"/>
      <c r="C367" s="686"/>
      <c r="L367" s="729" t="s">
        <v>60</v>
      </c>
      <c r="M367" s="281" t="s">
        <v>10</v>
      </c>
      <c r="N367" s="702" t="s">
        <v>427</v>
      </c>
      <c r="O367" s="703">
        <f ca="1">IF(VLOOKUP($N367,Data!$C:$H,1,TRUE)=$N367,VLOOKUP($N367,Data!$C:$H,6,TRUE),NA())</f>
        <v>0</v>
      </c>
      <c r="P367" s="703">
        <f t="shared" ca="1" si="5"/>
        <v>0</v>
      </c>
      <c r="Q367" s="466"/>
      <c r="R367" s="467"/>
      <c r="S367" s="297"/>
      <c r="T367" s="297"/>
      <c r="U367" s="297"/>
      <c r="V367" s="297"/>
      <c r="W367" s="467"/>
    </row>
    <row r="368" spans="1:23" ht="14" customHeight="1" x14ac:dyDescent="0.25">
      <c r="A368" s="332"/>
      <c r="B368" s="461"/>
      <c r="C368" s="686"/>
      <c r="L368" s="730" t="s">
        <v>60</v>
      </c>
      <c r="M368" s="281" t="s">
        <v>11</v>
      </c>
      <c r="N368" s="702" t="s">
        <v>428</v>
      </c>
      <c r="O368" s="703">
        <f ca="1">IF(VLOOKUP($N368,Data!$C:$H,1,TRUE)=$N368,VLOOKUP($N368,Data!$C:$H,6,TRUE),NA())</f>
        <v>0</v>
      </c>
      <c r="P368" s="703">
        <f t="shared" ca="1" si="5"/>
        <v>0</v>
      </c>
      <c r="Q368" s="466"/>
      <c r="R368" s="467"/>
      <c r="S368" s="297"/>
      <c r="T368" s="297"/>
      <c r="U368" s="297"/>
      <c r="V368" s="297"/>
      <c r="W368" s="467"/>
    </row>
    <row r="369" spans="1:23" ht="14" customHeight="1" x14ac:dyDescent="0.25">
      <c r="A369" s="332"/>
      <c r="B369" s="461"/>
      <c r="C369" s="686"/>
      <c r="L369" s="729" t="s">
        <v>60</v>
      </c>
      <c r="M369" s="281" t="s">
        <v>12</v>
      </c>
      <c r="N369" s="702" t="s">
        <v>429</v>
      </c>
      <c r="O369" s="703">
        <f ca="1">IF(VLOOKUP($N369,Data!$C:$H,1,TRUE)=$N369,VLOOKUP($N369,Data!$C:$H,6,TRUE),NA())</f>
        <v>0</v>
      </c>
      <c r="P369" s="703">
        <f t="shared" ca="1" si="5"/>
        <v>0</v>
      </c>
      <c r="Q369" s="466"/>
      <c r="R369" s="467"/>
      <c r="S369" s="297"/>
      <c r="T369" s="297"/>
      <c r="U369" s="297"/>
      <c r="V369" s="297"/>
      <c r="W369" s="467"/>
    </row>
    <row r="370" spans="1:23" ht="14" customHeight="1" x14ac:dyDescent="0.25">
      <c r="A370" s="332"/>
      <c r="B370" s="461"/>
      <c r="C370" s="686"/>
      <c r="L370" s="730" t="s">
        <v>60</v>
      </c>
      <c r="M370" s="281" t="s">
        <v>13</v>
      </c>
      <c r="N370" s="702" t="s">
        <v>430</v>
      </c>
      <c r="O370" s="703">
        <f ca="1">IF(VLOOKUP($N370,Data!$C:$H,1,TRUE)=$N370,VLOOKUP($N370,Data!$C:$H,6,TRUE),NA())</f>
        <v>0</v>
      </c>
      <c r="P370" s="703">
        <f t="shared" ca="1" si="5"/>
        <v>0</v>
      </c>
      <c r="Q370" s="466"/>
      <c r="R370" s="467"/>
      <c r="S370" s="297"/>
      <c r="T370" s="297"/>
      <c r="U370" s="297"/>
      <c r="V370" s="297"/>
      <c r="W370" s="467"/>
    </row>
    <row r="371" spans="1:23" ht="14" customHeight="1" x14ac:dyDescent="0.25">
      <c r="A371" s="332"/>
      <c r="B371" s="461"/>
      <c r="C371" s="686"/>
      <c r="L371" s="729" t="s">
        <v>60</v>
      </c>
      <c r="M371" s="281" t="s">
        <v>14</v>
      </c>
      <c r="N371" s="702" t="s">
        <v>431</v>
      </c>
      <c r="O371" s="703">
        <f ca="1">IF(VLOOKUP($N371,Data!$C:$H,1,TRUE)=$N371,VLOOKUP($N371,Data!$C:$H,6,TRUE),NA())</f>
        <v>0</v>
      </c>
      <c r="P371" s="703">
        <f t="shared" ca="1" si="5"/>
        <v>0</v>
      </c>
      <c r="Q371" s="466"/>
      <c r="R371" s="467"/>
      <c r="S371" s="297"/>
      <c r="T371" s="297"/>
      <c r="U371" s="297"/>
      <c r="V371" s="297"/>
      <c r="W371" s="467"/>
    </row>
    <row r="372" spans="1:23" ht="14" customHeight="1" x14ac:dyDescent="0.25">
      <c r="A372" s="332"/>
      <c r="B372" s="461"/>
      <c r="C372" s="686"/>
      <c r="L372" s="730" t="s">
        <v>60</v>
      </c>
      <c r="M372" s="281" t="s">
        <v>15</v>
      </c>
      <c r="N372" s="702" t="s">
        <v>432</v>
      </c>
      <c r="O372" s="703">
        <f ca="1">IF(VLOOKUP($N372,Data!$C:$H,1,TRUE)=$N372,VLOOKUP($N372,Data!$C:$H,6,TRUE),NA())</f>
        <v>0</v>
      </c>
      <c r="P372" s="703">
        <f t="shared" ca="1" si="5"/>
        <v>0</v>
      </c>
      <c r="Q372" s="466"/>
      <c r="R372" s="467"/>
      <c r="S372" s="297"/>
      <c r="T372" s="297"/>
      <c r="U372" s="297"/>
      <c r="V372" s="297"/>
      <c r="W372" s="467"/>
    </row>
    <row r="373" spans="1:23" ht="14" customHeight="1" x14ac:dyDescent="0.25">
      <c r="A373" s="332"/>
      <c r="B373" s="461"/>
      <c r="C373" s="686"/>
      <c r="L373" s="729" t="s">
        <v>60</v>
      </c>
      <c r="M373" s="281" t="s">
        <v>20</v>
      </c>
      <c r="N373" s="702" t="s">
        <v>433</v>
      </c>
      <c r="O373" s="703">
        <f ca="1">IF(VLOOKUP($N373,Data!$C:$H,1,TRUE)=$N373,VLOOKUP($N373,Data!$C:$H,6,TRUE),NA())</f>
        <v>0</v>
      </c>
      <c r="P373" s="703">
        <f t="shared" ca="1" si="5"/>
        <v>0</v>
      </c>
      <c r="Q373" s="466"/>
      <c r="R373" s="467"/>
      <c r="S373" s="297"/>
      <c r="T373" s="297"/>
      <c r="U373" s="297"/>
      <c r="V373" s="297"/>
      <c r="W373" s="467"/>
    </row>
    <row r="374" spans="1:23" ht="14" customHeight="1" x14ac:dyDescent="0.25">
      <c r="A374" s="332"/>
      <c r="B374" s="461"/>
      <c r="C374" s="686"/>
      <c r="L374" s="730" t="s">
        <v>60</v>
      </c>
      <c r="M374" s="281" t="s">
        <v>21</v>
      </c>
      <c r="N374" s="702" t="s">
        <v>434</v>
      </c>
      <c r="O374" s="703">
        <f ca="1">IF(VLOOKUP($N374,Data!$C:$H,1,TRUE)=$N374,VLOOKUP($N374,Data!$C:$H,6,TRUE),NA())</f>
        <v>0</v>
      </c>
      <c r="P374" s="703">
        <f t="shared" ca="1" si="5"/>
        <v>0</v>
      </c>
      <c r="Q374" s="466"/>
      <c r="R374" s="467"/>
      <c r="S374" s="297"/>
      <c r="T374" s="297"/>
      <c r="U374" s="297"/>
      <c r="V374" s="297"/>
      <c r="W374" s="467"/>
    </row>
    <row r="375" spans="1:23" ht="14" customHeight="1" x14ac:dyDescent="0.25">
      <c r="A375" s="332"/>
      <c r="B375" s="461"/>
      <c r="C375" s="686"/>
      <c r="L375" s="729" t="s">
        <v>60</v>
      </c>
      <c r="M375" s="281" t="s">
        <v>22</v>
      </c>
      <c r="N375" s="702" t="s">
        <v>435</v>
      </c>
      <c r="O375" s="703">
        <f ca="1">IF(VLOOKUP($N375,Data!$C:$H,1,TRUE)=$N375,VLOOKUP($N375,Data!$C:$H,6,TRUE),NA())</f>
        <v>0</v>
      </c>
      <c r="P375" s="703">
        <f t="shared" ca="1" si="5"/>
        <v>0</v>
      </c>
      <c r="Q375" s="466"/>
      <c r="R375" s="467"/>
      <c r="S375" s="297"/>
      <c r="T375" s="297"/>
      <c r="U375" s="297"/>
      <c r="V375" s="297"/>
      <c r="W375" s="467"/>
    </row>
    <row r="376" spans="1:23" ht="14" customHeight="1" x14ac:dyDescent="0.25">
      <c r="A376" s="332"/>
      <c r="B376" s="461"/>
      <c r="C376" s="686"/>
      <c r="L376" s="730" t="s">
        <v>60</v>
      </c>
      <c r="M376" s="281" t="s">
        <v>23</v>
      </c>
      <c r="N376" s="702" t="s">
        <v>436</v>
      </c>
      <c r="O376" s="703">
        <f ca="1">IF(VLOOKUP($N376,Data!$C:$H,1,TRUE)=$N376,VLOOKUP($N376,Data!$C:$H,6,TRUE),NA())</f>
        <v>0</v>
      </c>
      <c r="P376" s="703">
        <f t="shared" ca="1" si="5"/>
        <v>0</v>
      </c>
      <c r="Q376" s="466"/>
      <c r="R376" s="467"/>
      <c r="S376" s="297"/>
      <c r="T376" s="297"/>
      <c r="U376" s="297"/>
      <c r="V376" s="297"/>
      <c r="W376" s="467"/>
    </row>
    <row r="377" spans="1:23" ht="14" customHeight="1" x14ac:dyDescent="0.25">
      <c r="A377" s="332"/>
      <c r="B377" s="461"/>
      <c r="C377" s="686"/>
      <c r="L377" s="729" t="s">
        <v>60</v>
      </c>
      <c r="M377" s="281" t="s">
        <v>24</v>
      </c>
      <c r="N377" s="702" t="s">
        <v>437</v>
      </c>
      <c r="O377" s="703">
        <f ca="1">IF(VLOOKUP($N377,Data!$C:$H,1,TRUE)=$N377,VLOOKUP($N377,Data!$C:$H,6,TRUE),NA())</f>
        <v>0</v>
      </c>
      <c r="P377" s="703">
        <f t="shared" ca="1" si="5"/>
        <v>0</v>
      </c>
      <c r="Q377" s="466"/>
      <c r="R377" s="467"/>
      <c r="S377" s="297"/>
      <c r="T377" s="297"/>
      <c r="U377" s="297"/>
      <c r="V377" s="297"/>
      <c r="W377" s="467"/>
    </row>
    <row r="378" spans="1:23" ht="14" customHeight="1" x14ac:dyDescent="0.25">
      <c r="A378" s="332"/>
      <c r="B378" s="461"/>
      <c r="C378" s="686"/>
      <c r="L378" s="730" t="s">
        <v>60</v>
      </c>
      <c r="M378" s="281" t="s">
        <v>112</v>
      </c>
      <c r="N378" s="702" t="s">
        <v>438</v>
      </c>
      <c r="O378" s="703">
        <f ca="1">IF(VLOOKUP($N378,Data!$C:$H,1,TRUE)=$N378,VLOOKUP($N378,Data!$C:$H,6,TRUE),NA())</f>
        <v>0</v>
      </c>
      <c r="P378" s="703">
        <f t="shared" ca="1" si="5"/>
        <v>0</v>
      </c>
      <c r="Q378" s="466"/>
      <c r="R378" s="467"/>
      <c r="S378" s="297"/>
      <c r="T378" s="297"/>
      <c r="U378" s="297"/>
      <c r="V378" s="297"/>
      <c r="W378" s="467"/>
    </row>
    <row r="379" spans="1:23" ht="14" customHeight="1" x14ac:dyDescent="0.25">
      <c r="A379" s="332"/>
      <c r="B379" s="461"/>
      <c r="C379" s="686"/>
      <c r="L379" s="729" t="s">
        <v>60</v>
      </c>
      <c r="M379" s="281" t="s">
        <v>176</v>
      </c>
      <c r="N379" s="702" t="s">
        <v>439</v>
      </c>
      <c r="O379" s="703">
        <f ca="1">IF(VLOOKUP($N379,Data!$C:$H,1,TRUE)=$N379,VLOOKUP($N379,Data!$C:$H,6,TRUE),NA())</f>
        <v>0</v>
      </c>
      <c r="P379" s="703">
        <f t="shared" ca="1" si="5"/>
        <v>0</v>
      </c>
      <c r="Q379" s="466"/>
      <c r="R379" s="467"/>
      <c r="S379" s="297"/>
      <c r="T379" s="297"/>
      <c r="U379" s="297"/>
      <c r="V379" s="297"/>
      <c r="W379" s="467"/>
    </row>
    <row r="380" spans="1:23" ht="14" customHeight="1" x14ac:dyDescent="0.25">
      <c r="A380" s="332"/>
      <c r="B380" s="461"/>
      <c r="C380" s="686"/>
      <c r="L380" s="730" t="s">
        <v>60</v>
      </c>
      <c r="M380" s="281" t="s">
        <v>178</v>
      </c>
      <c r="N380" s="702" t="s">
        <v>440</v>
      </c>
      <c r="O380" s="703">
        <f ca="1">IF(VLOOKUP($N380,Data!$C:$H,1,TRUE)=$N380,VLOOKUP($N380,Data!$C:$H,6,TRUE),NA())</f>
        <v>0</v>
      </c>
      <c r="P380" s="703">
        <f t="shared" ca="1" si="5"/>
        <v>0</v>
      </c>
      <c r="Q380" s="466"/>
      <c r="R380" s="467"/>
      <c r="S380" s="297"/>
      <c r="T380" s="297"/>
      <c r="U380" s="297"/>
      <c r="V380" s="297"/>
      <c r="W380" s="467"/>
    </row>
    <row r="381" spans="1:23" ht="14" customHeight="1" x14ac:dyDescent="0.25">
      <c r="A381" s="332"/>
      <c r="B381" s="461"/>
      <c r="C381" s="686"/>
      <c r="L381" s="729" t="s">
        <v>60</v>
      </c>
      <c r="M381" s="281" t="s">
        <v>209</v>
      </c>
      <c r="N381" s="702" t="s">
        <v>441</v>
      </c>
      <c r="O381" s="703">
        <f ca="1">IF(VLOOKUP($N381,Data!$C:$H,1,TRUE)=$N381,VLOOKUP($N381,Data!$C:$H,6,TRUE),NA())</f>
        <v>0</v>
      </c>
      <c r="P381" s="703">
        <f t="shared" ca="1" si="5"/>
        <v>0</v>
      </c>
      <c r="Q381" s="466"/>
      <c r="R381" s="467"/>
      <c r="S381" s="297"/>
      <c r="T381" s="297"/>
      <c r="U381" s="297"/>
      <c r="V381" s="297"/>
      <c r="W381" s="467"/>
    </row>
    <row r="382" spans="1:23" ht="14" customHeight="1" x14ac:dyDescent="0.25">
      <c r="A382" s="332"/>
      <c r="B382" s="461"/>
      <c r="C382" s="686"/>
      <c r="L382" s="730" t="s">
        <v>60</v>
      </c>
      <c r="M382" s="281" t="s">
        <v>211</v>
      </c>
      <c r="N382" s="702" t="s">
        <v>442</v>
      </c>
      <c r="O382" s="703">
        <f ca="1">IF(VLOOKUP($N382,Data!$C:$H,1,TRUE)=$N382,VLOOKUP($N382,Data!$C:$H,6,TRUE),NA())</f>
        <v>0</v>
      </c>
      <c r="P382" s="703">
        <f t="shared" ca="1" si="5"/>
        <v>0</v>
      </c>
      <c r="Q382" s="466"/>
      <c r="R382" s="467"/>
      <c r="S382" s="297"/>
      <c r="T382" s="297"/>
      <c r="U382" s="297"/>
      <c r="V382" s="297"/>
      <c r="W382" s="467"/>
    </row>
    <row r="383" spans="1:23" ht="14" customHeight="1" x14ac:dyDescent="0.25">
      <c r="A383" s="332"/>
      <c r="B383" s="461"/>
      <c r="C383" s="686"/>
      <c r="L383" s="729" t="s">
        <v>60</v>
      </c>
      <c r="M383" s="281" t="s">
        <v>213</v>
      </c>
      <c r="N383" s="702" t="s">
        <v>443</v>
      </c>
      <c r="O383" s="703">
        <f ca="1">IF(VLOOKUP($N383,Data!$C:$H,1,TRUE)=$N383,VLOOKUP($N383,Data!$C:$H,6,TRUE),NA())</f>
        <v>0</v>
      </c>
      <c r="P383" s="703">
        <f t="shared" ca="1" si="5"/>
        <v>0</v>
      </c>
      <c r="Q383" s="466"/>
      <c r="R383" s="467"/>
      <c r="S383" s="297"/>
      <c r="T383" s="297"/>
      <c r="U383" s="297"/>
      <c r="V383" s="297"/>
      <c r="W383" s="467"/>
    </row>
    <row r="384" spans="1:23" ht="14" customHeight="1" x14ac:dyDescent="0.25">
      <c r="A384" s="332"/>
      <c r="B384" s="461"/>
      <c r="C384" s="686"/>
      <c r="L384" s="730" t="s">
        <v>60</v>
      </c>
      <c r="M384" s="281" t="s">
        <v>25</v>
      </c>
      <c r="N384" s="702" t="s">
        <v>444</v>
      </c>
      <c r="O384" s="703">
        <f ca="1">IF(VLOOKUP($N384,Data!$C:$H,1,TRUE)=$N384,VLOOKUP($N384,Data!$C:$H,6,TRUE),NA())</f>
        <v>0</v>
      </c>
      <c r="P384" s="703">
        <f t="shared" ca="1" si="5"/>
        <v>0</v>
      </c>
      <c r="Q384" s="466"/>
      <c r="R384" s="467"/>
      <c r="S384" s="297"/>
      <c r="T384" s="297"/>
      <c r="U384" s="297"/>
      <c r="V384" s="297"/>
      <c r="W384" s="467"/>
    </row>
    <row r="385" spans="1:23" ht="14" customHeight="1" x14ac:dyDescent="0.25">
      <c r="A385" s="332"/>
      <c r="B385" s="461"/>
      <c r="C385" s="686"/>
      <c r="E385" s="686"/>
      <c r="F385" s="686"/>
      <c r="G385" s="686"/>
      <c r="L385" s="729" t="s">
        <v>60</v>
      </c>
      <c r="M385" s="281" t="s">
        <v>26</v>
      </c>
      <c r="N385" s="702" t="s">
        <v>445</v>
      </c>
      <c r="O385" s="703">
        <f ca="1">IF(VLOOKUP($N385,Data!$C:$H,1,TRUE)=$N385,VLOOKUP($N385,Data!$C:$H,6,TRUE),NA())</f>
        <v>0</v>
      </c>
      <c r="P385" s="703">
        <f t="shared" ca="1" si="5"/>
        <v>0</v>
      </c>
      <c r="Q385" s="466"/>
      <c r="R385" s="467"/>
      <c r="S385" s="297"/>
      <c r="T385" s="297"/>
      <c r="U385" s="297"/>
      <c r="V385" s="297"/>
      <c r="W385" s="467"/>
    </row>
    <row r="386" spans="1:23" ht="14" customHeight="1" x14ac:dyDescent="0.25">
      <c r="A386" s="332"/>
      <c r="B386" s="461"/>
      <c r="C386" s="686"/>
      <c r="L386" s="730" t="s">
        <v>60</v>
      </c>
      <c r="M386" s="281" t="s">
        <v>27</v>
      </c>
      <c r="N386" s="702" t="s">
        <v>446</v>
      </c>
      <c r="O386" s="703">
        <f ca="1">IF(VLOOKUP($N386,Data!$C:$H,1,TRUE)=$N386,VLOOKUP($N386,Data!$C:$H,6,TRUE),NA())</f>
        <v>0</v>
      </c>
      <c r="P386" s="703">
        <f t="shared" ca="1" si="5"/>
        <v>0</v>
      </c>
      <c r="Q386" s="466"/>
      <c r="R386" s="467"/>
      <c r="S386" s="297"/>
      <c r="T386" s="297"/>
      <c r="U386" s="297"/>
      <c r="V386" s="297"/>
      <c r="W386" s="467"/>
    </row>
    <row r="387" spans="1:23" ht="14" customHeight="1" x14ac:dyDescent="0.25">
      <c r="A387" s="332"/>
      <c r="B387" s="461"/>
      <c r="C387" s="686"/>
      <c r="L387" s="729" t="s">
        <v>60</v>
      </c>
      <c r="M387" s="281" t="s">
        <v>28</v>
      </c>
      <c r="N387" s="702" t="s">
        <v>447</v>
      </c>
      <c r="O387" s="704">
        <f ca="1">IF(VLOOKUP($N387,Data!$C:$H,1,TRUE)=$N387,VLOOKUP($N387,Data!$C:$H,6,TRUE),NA())</f>
        <v>0</v>
      </c>
      <c r="P387" s="704">
        <f t="shared" ca="1" si="5"/>
        <v>0</v>
      </c>
      <c r="Q387" s="466"/>
      <c r="R387" s="467"/>
      <c r="S387" s="297"/>
      <c r="T387" s="297"/>
      <c r="U387" s="297"/>
      <c r="V387" s="297"/>
      <c r="W387" s="467"/>
    </row>
    <row r="388" spans="1:23" ht="14" customHeight="1" x14ac:dyDescent="0.25">
      <c r="A388" s="332"/>
      <c r="B388" s="461"/>
      <c r="C388" s="686"/>
      <c r="L388" s="730" t="s">
        <v>60</v>
      </c>
      <c r="M388" s="281" t="s">
        <v>29</v>
      </c>
      <c r="N388" s="702" t="s">
        <v>448</v>
      </c>
      <c r="O388" s="704">
        <f ca="1">IF(VLOOKUP($N388,Data!$C:$H,1,TRUE)=$N388,VLOOKUP($N388,Data!$C:$H,6,TRUE),NA())</f>
        <v>0</v>
      </c>
      <c r="P388" s="704">
        <f t="shared" ca="1" si="5"/>
        <v>0</v>
      </c>
      <c r="Q388" s="466"/>
      <c r="R388" s="467"/>
      <c r="S388" s="297"/>
      <c r="T388" s="297"/>
      <c r="U388" s="297"/>
      <c r="V388" s="297"/>
      <c r="W388" s="467"/>
    </row>
    <row r="389" spans="1:23" ht="14" customHeight="1" x14ac:dyDescent="0.25">
      <c r="A389" s="332"/>
      <c r="B389" s="461"/>
      <c r="C389" s="686"/>
      <c r="L389" s="729" t="s">
        <v>60</v>
      </c>
      <c r="M389" s="281" t="s">
        <v>30</v>
      </c>
      <c r="N389" s="702" t="s">
        <v>449</v>
      </c>
      <c r="O389" s="704">
        <f ca="1">IF(VLOOKUP($N389,Data!$C:$H,1,TRUE)=$N389,VLOOKUP($N389,Data!$C:$H,6,TRUE),NA())</f>
        <v>0</v>
      </c>
      <c r="P389" s="704">
        <f t="shared" ca="1" si="5"/>
        <v>0</v>
      </c>
      <c r="Q389" s="466"/>
      <c r="R389" s="467"/>
      <c r="S389" s="297"/>
      <c r="T389" s="297"/>
      <c r="U389" s="297"/>
      <c r="V389" s="297"/>
      <c r="W389" s="467"/>
    </row>
    <row r="390" spans="1:23" ht="14" customHeight="1" x14ac:dyDescent="0.25">
      <c r="A390" s="332"/>
      <c r="B390" s="461"/>
      <c r="C390" s="686"/>
      <c r="L390" s="730" t="s">
        <v>60</v>
      </c>
      <c r="M390" s="281" t="s">
        <v>31</v>
      </c>
      <c r="N390" s="702" t="s">
        <v>450</v>
      </c>
      <c r="O390" s="704">
        <f ca="1">IF(VLOOKUP($N390,Data!$C:$H,1,TRUE)=$N390,VLOOKUP($N390,Data!$C:$H,6,TRUE),NA())</f>
        <v>0</v>
      </c>
      <c r="P390" s="704">
        <f t="shared" ca="1" si="5"/>
        <v>0</v>
      </c>
      <c r="Q390" s="466"/>
      <c r="R390" s="467"/>
      <c r="S390" s="297"/>
      <c r="T390" s="297"/>
      <c r="U390" s="297"/>
      <c r="V390" s="297"/>
      <c r="W390" s="467"/>
    </row>
    <row r="391" spans="1:23" ht="14" customHeight="1" x14ac:dyDescent="0.25">
      <c r="A391" s="332"/>
      <c r="B391" s="461"/>
      <c r="C391" s="686"/>
      <c r="L391" s="729" t="s">
        <v>60</v>
      </c>
      <c r="M391" s="281" t="s">
        <v>247</v>
      </c>
      <c r="N391" s="702" t="s">
        <v>451</v>
      </c>
      <c r="O391" s="704">
        <f ca="1">IF(VLOOKUP($N391,Data!$C:$H,1,TRUE)=$N391,VLOOKUP($N391,Data!$C:$H,6,TRUE),NA())</f>
        <v>0</v>
      </c>
      <c r="P391" s="704">
        <f t="shared" ca="1" si="5"/>
        <v>0</v>
      </c>
      <c r="Q391" s="466"/>
      <c r="R391" s="467"/>
      <c r="S391" s="297"/>
      <c r="T391" s="297"/>
      <c r="U391" s="297"/>
      <c r="V391" s="297"/>
      <c r="W391" s="467"/>
    </row>
    <row r="392" spans="1:23" ht="14" customHeight="1" x14ac:dyDescent="0.25">
      <c r="A392" s="332"/>
      <c r="B392" s="461"/>
      <c r="C392" s="686"/>
      <c r="M392" s="281"/>
      <c r="N392" s="695" t="s">
        <v>2597</v>
      </c>
      <c r="O392" s="705">
        <f>Investment!K8</f>
        <v>0</v>
      </c>
      <c r="P392" s="705" t="e">
        <f t="shared" ca="1" si="5"/>
        <v>#REF!</v>
      </c>
      <c r="Q392" s="466"/>
      <c r="R392" s="467"/>
      <c r="S392" s="297"/>
      <c r="T392" s="297"/>
      <c r="U392" s="297"/>
      <c r="V392" s="297"/>
      <c r="W392" s="467"/>
    </row>
    <row r="393" spans="1:23" ht="14" customHeight="1" x14ac:dyDescent="0.25">
      <c r="A393" s="332"/>
      <c r="B393" s="461"/>
      <c r="C393" s="686"/>
      <c r="N393" s="695" t="s">
        <v>2598</v>
      </c>
      <c r="O393" s="705">
        <f>Investment!K9</f>
        <v>0</v>
      </c>
      <c r="P393" s="705" t="e">
        <f t="shared" ca="1" si="5"/>
        <v>#REF!</v>
      </c>
      <c r="Q393" s="466"/>
      <c r="R393" s="467"/>
      <c r="S393" s="297"/>
      <c r="T393" s="297"/>
      <c r="U393" s="297"/>
      <c r="V393" s="297"/>
      <c r="W393" s="467"/>
    </row>
    <row r="394" spans="1:23" ht="14" customHeight="1" x14ac:dyDescent="0.25">
      <c r="A394" s="332"/>
      <c r="B394" s="461"/>
      <c r="C394" s="686"/>
      <c r="N394" s="695" t="s">
        <v>2599</v>
      </c>
      <c r="O394" s="705">
        <f>Investment!K10</f>
        <v>0</v>
      </c>
      <c r="P394" s="705" t="e">
        <f t="shared" ref="P394:P413" ca="1" si="6">VLOOKUP($M394, INDIRECT("'"&amp;$L394&amp;"'!"&amp;"$D:$J"), 7,FALSE)</f>
        <v>#REF!</v>
      </c>
      <c r="Q394" s="466"/>
      <c r="R394" s="467"/>
      <c r="S394" s="297"/>
      <c r="T394" s="297"/>
      <c r="U394" s="297"/>
      <c r="V394" s="297"/>
      <c r="W394" s="467"/>
    </row>
    <row r="395" spans="1:23" ht="14" customHeight="1" x14ac:dyDescent="0.25">
      <c r="A395" s="332"/>
      <c r="B395" s="461"/>
      <c r="C395" s="686"/>
      <c r="N395" s="695" t="s">
        <v>2600</v>
      </c>
      <c r="O395" s="705">
        <f>Investment!K11</f>
        <v>0</v>
      </c>
      <c r="P395" s="705" t="e">
        <f t="shared" ca="1" si="6"/>
        <v>#REF!</v>
      </c>
      <c r="Q395" s="466"/>
      <c r="R395" s="467"/>
      <c r="S395" s="297"/>
      <c r="T395" s="297"/>
      <c r="U395" s="297"/>
      <c r="V395" s="297"/>
      <c r="W395" s="467"/>
    </row>
    <row r="396" spans="1:23" ht="14" customHeight="1" x14ac:dyDescent="0.25">
      <c r="A396" s="332"/>
      <c r="B396" s="461"/>
      <c r="C396" s="686"/>
      <c r="N396" s="695" t="s">
        <v>2601</v>
      </c>
      <c r="O396" s="705">
        <f>Investment!K12</f>
        <v>0</v>
      </c>
      <c r="P396" s="705" t="e">
        <f t="shared" ca="1" si="6"/>
        <v>#REF!</v>
      </c>
      <c r="Q396" s="466"/>
      <c r="R396" s="467"/>
      <c r="S396" s="297"/>
      <c r="T396" s="297"/>
      <c r="U396" s="297"/>
      <c r="V396" s="297"/>
      <c r="W396" s="467"/>
    </row>
    <row r="397" spans="1:23" ht="14" customHeight="1" x14ac:dyDescent="0.25">
      <c r="A397" s="332"/>
      <c r="B397" s="461"/>
      <c r="C397" s="686"/>
      <c r="N397" s="695" t="s">
        <v>2602</v>
      </c>
      <c r="O397" s="705">
        <f>Investment!K13</f>
        <v>0</v>
      </c>
      <c r="P397" s="705" t="e">
        <f t="shared" ca="1" si="6"/>
        <v>#REF!</v>
      </c>
      <c r="Q397" s="466"/>
      <c r="R397" s="467"/>
      <c r="S397" s="297"/>
      <c r="T397" s="297"/>
      <c r="U397" s="297"/>
      <c r="V397" s="297"/>
      <c r="W397" s="467"/>
    </row>
    <row r="398" spans="1:23" ht="14" customHeight="1" x14ac:dyDescent="0.25">
      <c r="A398" s="332"/>
      <c r="B398" s="461"/>
      <c r="C398" s="686"/>
      <c r="N398" s="695" t="s">
        <v>2603</v>
      </c>
      <c r="O398" s="705">
        <f>Investment!K14</f>
        <v>0</v>
      </c>
      <c r="P398" s="705" t="e">
        <f t="shared" ca="1" si="6"/>
        <v>#REF!</v>
      </c>
      <c r="Q398" s="466"/>
      <c r="R398" s="467"/>
      <c r="S398" s="297"/>
      <c r="T398" s="297"/>
      <c r="U398" s="297"/>
      <c r="V398" s="297"/>
      <c r="W398" s="467"/>
    </row>
    <row r="399" spans="1:23" ht="14" customHeight="1" x14ac:dyDescent="0.25">
      <c r="A399" s="332"/>
      <c r="B399" s="461"/>
      <c r="C399" s="686"/>
      <c r="N399" s="695" t="s">
        <v>2604</v>
      </c>
      <c r="O399" s="705">
        <f>Investment!K15</f>
        <v>0</v>
      </c>
      <c r="P399" s="705" t="e">
        <f t="shared" ca="1" si="6"/>
        <v>#REF!</v>
      </c>
      <c r="Q399" s="466"/>
      <c r="R399" s="467"/>
      <c r="S399" s="297"/>
      <c r="T399" s="297"/>
      <c r="U399" s="297"/>
      <c r="V399" s="297"/>
      <c r="W399" s="467"/>
    </row>
    <row r="400" spans="1:23" ht="14" customHeight="1" x14ac:dyDescent="0.25">
      <c r="A400" s="332"/>
      <c r="B400" s="461"/>
      <c r="C400" s="686"/>
      <c r="N400" s="695" t="s">
        <v>2605</v>
      </c>
      <c r="O400" s="705">
        <f>Investment!K16</f>
        <v>0</v>
      </c>
      <c r="P400" s="705" t="e">
        <f t="shared" ca="1" si="6"/>
        <v>#REF!</v>
      </c>
      <c r="Q400" s="466"/>
      <c r="R400" s="467"/>
      <c r="S400" s="297"/>
      <c r="T400" s="297"/>
      <c r="U400" s="297"/>
      <c r="V400" s="297"/>
      <c r="W400" s="467"/>
    </row>
    <row r="401" spans="1:23" ht="14" customHeight="1" x14ac:dyDescent="0.25">
      <c r="A401" s="332"/>
      <c r="B401" s="461"/>
      <c r="C401" s="686"/>
      <c r="N401" s="695" t="s">
        <v>2606</v>
      </c>
      <c r="O401" s="705">
        <f>Investment!K17</f>
        <v>0</v>
      </c>
      <c r="P401" s="705" t="e">
        <f t="shared" ca="1" si="6"/>
        <v>#REF!</v>
      </c>
      <c r="Q401" s="466"/>
      <c r="R401" s="467"/>
      <c r="S401" s="297"/>
      <c r="T401" s="297"/>
      <c r="U401" s="297"/>
      <c r="V401" s="297"/>
      <c r="W401" s="467"/>
    </row>
    <row r="402" spans="1:23" ht="14" customHeight="1" x14ac:dyDescent="0.25">
      <c r="A402" s="332"/>
      <c r="B402" s="461"/>
      <c r="C402" s="686"/>
      <c r="N402" s="695" t="s">
        <v>2607</v>
      </c>
      <c r="O402" s="705">
        <f>Investment!K18</f>
        <v>0</v>
      </c>
      <c r="P402" s="705" t="e">
        <f t="shared" ca="1" si="6"/>
        <v>#REF!</v>
      </c>
      <c r="Q402" s="466"/>
      <c r="R402" s="467"/>
      <c r="S402" s="297"/>
      <c r="T402" s="297"/>
      <c r="U402" s="297"/>
      <c r="V402" s="297"/>
      <c r="W402" s="467"/>
    </row>
    <row r="403" spans="1:23" ht="14" customHeight="1" x14ac:dyDescent="0.25">
      <c r="A403" s="332"/>
      <c r="B403" s="461"/>
      <c r="C403" s="686"/>
      <c r="N403" s="695" t="s">
        <v>2608</v>
      </c>
      <c r="O403" s="705">
        <f>Investment!L8</f>
        <v>0</v>
      </c>
      <c r="P403" s="705" t="e">
        <f t="shared" ca="1" si="6"/>
        <v>#REF!</v>
      </c>
      <c r="Q403" s="466"/>
      <c r="R403" s="467"/>
      <c r="S403" s="297"/>
      <c r="T403" s="297"/>
      <c r="U403" s="297"/>
      <c r="V403" s="297"/>
      <c r="W403" s="467"/>
    </row>
    <row r="404" spans="1:23" ht="14" customHeight="1" x14ac:dyDescent="0.25">
      <c r="A404" s="332"/>
      <c r="B404" s="461"/>
      <c r="C404" s="686"/>
      <c r="N404" s="695" t="s">
        <v>2609</v>
      </c>
      <c r="O404" s="705">
        <f>Investment!L9</f>
        <v>0</v>
      </c>
      <c r="P404" s="705" t="e">
        <f t="shared" ca="1" si="6"/>
        <v>#REF!</v>
      </c>
      <c r="Q404" s="466"/>
      <c r="R404" s="467"/>
      <c r="S404" s="297"/>
      <c r="T404" s="297"/>
      <c r="U404" s="297"/>
      <c r="V404" s="297"/>
      <c r="W404" s="467"/>
    </row>
    <row r="405" spans="1:23" ht="14" customHeight="1" x14ac:dyDescent="0.25">
      <c r="A405" s="332"/>
      <c r="B405" s="461"/>
      <c r="C405" s="686"/>
      <c r="N405" s="695" t="s">
        <v>2610</v>
      </c>
      <c r="O405" s="705">
        <f>Investment!L10</f>
        <v>0</v>
      </c>
      <c r="P405" s="705" t="e">
        <f t="shared" ca="1" si="6"/>
        <v>#REF!</v>
      </c>
      <c r="Q405" s="466"/>
      <c r="R405" s="467"/>
      <c r="S405" s="297"/>
      <c r="T405" s="297"/>
      <c r="U405" s="297"/>
      <c r="V405" s="297"/>
      <c r="W405" s="467"/>
    </row>
    <row r="406" spans="1:23" ht="14" customHeight="1" x14ac:dyDescent="0.25">
      <c r="A406" s="332"/>
      <c r="B406" s="461"/>
      <c r="C406" s="686"/>
      <c r="N406" s="695" t="s">
        <v>2611</v>
      </c>
      <c r="O406" s="705">
        <f>Investment!L11</f>
        <v>0</v>
      </c>
      <c r="P406" s="705" t="e">
        <f t="shared" ca="1" si="6"/>
        <v>#REF!</v>
      </c>
      <c r="Q406" s="466"/>
      <c r="R406" s="467"/>
      <c r="S406" s="297"/>
      <c r="T406" s="297"/>
      <c r="U406" s="297"/>
      <c r="V406" s="297"/>
      <c r="W406" s="467"/>
    </row>
    <row r="407" spans="1:23" ht="14" customHeight="1" x14ac:dyDescent="0.25">
      <c r="A407" s="332"/>
      <c r="B407" s="461"/>
      <c r="C407" s="686"/>
      <c r="N407" s="695" t="s">
        <v>2612</v>
      </c>
      <c r="O407" s="705">
        <f>Investment!L12</f>
        <v>0</v>
      </c>
      <c r="P407" s="705" t="e">
        <f t="shared" ca="1" si="6"/>
        <v>#REF!</v>
      </c>
      <c r="Q407" s="466"/>
      <c r="R407" s="467"/>
      <c r="S407" s="297"/>
      <c r="T407" s="297"/>
      <c r="U407" s="297"/>
      <c r="V407" s="297"/>
      <c r="W407" s="467"/>
    </row>
    <row r="408" spans="1:23" ht="14" customHeight="1" x14ac:dyDescent="0.25">
      <c r="A408" s="332"/>
      <c r="B408" s="461"/>
      <c r="C408" s="686"/>
      <c r="N408" s="695" t="s">
        <v>2613</v>
      </c>
      <c r="O408" s="705">
        <f>Investment!L13</f>
        <v>0</v>
      </c>
      <c r="P408" s="705" t="e">
        <f t="shared" ca="1" si="6"/>
        <v>#REF!</v>
      </c>
      <c r="Q408" s="466"/>
      <c r="R408" s="467"/>
      <c r="S408" s="297"/>
      <c r="T408" s="297"/>
      <c r="U408" s="297"/>
      <c r="V408" s="297"/>
      <c r="W408" s="467"/>
    </row>
    <row r="409" spans="1:23" ht="14" customHeight="1" x14ac:dyDescent="0.25">
      <c r="A409" s="332"/>
      <c r="B409" s="461"/>
      <c r="C409" s="686"/>
      <c r="N409" s="695" t="s">
        <v>2614</v>
      </c>
      <c r="O409" s="705">
        <f>Investment!L14</f>
        <v>0</v>
      </c>
      <c r="P409" s="705" t="e">
        <f t="shared" ca="1" si="6"/>
        <v>#REF!</v>
      </c>
      <c r="Q409" s="466"/>
      <c r="R409" s="467"/>
      <c r="S409" s="297"/>
      <c r="T409" s="297"/>
      <c r="U409" s="297"/>
      <c r="V409" s="297"/>
      <c r="W409" s="467"/>
    </row>
    <row r="410" spans="1:23" ht="14" customHeight="1" x14ac:dyDescent="0.25">
      <c r="A410" s="332"/>
      <c r="B410" s="461"/>
      <c r="C410" s="686"/>
      <c r="N410" s="695" t="s">
        <v>2615</v>
      </c>
      <c r="O410" s="705">
        <f>Investment!L15</f>
        <v>0</v>
      </c>
      <c r="P410" s="705" t="e">
        <f t="shared" ca="1" si="6"/>
        <v>#REF!</v>
      </c>
      <c r="Q410" s="466"/>
      <c r="R410" s="467"/>
      <c r="S410" s="297"/>
      <c r="T410" s="297"/>
      <c r="U410" s="297"/>
      <c r="V410" s="297"/>
      <c r="W410" s="467"/>
    </row>
    <row r="411" spans="1:23" ht="14" customHeight="1" x14ac:dyDescent="0.25">
      <c r="A411" s="332"/>
      <c r="B411" s="461"/>
      <c r="C411" s="686"/>
      <c r="N411" s="695" t="s">
        <v>2616</v>
      </c>
      <c r="O411" s="705">
        <f>Investment!L16</f>
        <v>0</v>
      </c>
      <c r="P411" s="705" t="e">
        <f t="shared" ca="1" si="6"/>
        <v>#REF!</v>
      </c>
      <c r="Q411" s="466"/>
      <c r="R411" s="467"/>
      <c r="S411" s="297"/>
      <c r="T411" s="297"/>
      <c r="U411" s="297"/>
      <c r="V411" s="297"/>
      <c r="W411" s="467"/>
    </row>
    <row r="412" spans="1:23" ht="14" customHeight="1" x14ac:dyDescent="0.25">
      <c r="A412" s="332"/>
      <c r="B412" s="461"/>
      <c r="C412" s="686"/>
      <c r="N412" s="695" t="s">
        <v>2617</v>
      </c>
      <c r="O412" s="705">
        <f>Investment!L17</f>
        <v>0</v>
      </c>
      <c r="P412" s="705" t="e">
        <f t="shared" ca="1" si="6"/>
        <v>#REF!</v>
      </c>
      <c r="Q412" s="466"/>
      <c r="R412" s="467"/>
      <c r="S412" s="297"/>
      <c r="T412" s="297"/>
      <c r="U412" s="297"/>
      <c r="V412" s="297"/>
      <c r="W412" s="467"/>
    </row>
    <row r="413" spans="1:23" ht="14" customHeight="1" x14ac:dyDescent="0.25">
      <c r="A413" s="332"/>
      <c r="B413" s="461"/>
      <c r="C413" s="686"/>
      <c r="N413" s="695" t="s">
        <v>2618</v>
      </c>
      <c r="O413" s="705">
        <f>Investment!L18</f>
        <v>0</v>
      </c>
      <c r="P413" s="705" t="e">
        <f t="shared" ca="1" si="6"/>
        <v>#REF!</v>
      </c>
      <c r="Q413" s="466"/>
      <c r="R413" s="467"/>
      <c r="S413" s="297"/>
      <c r="T413" s="297"/>
      <c r="U413" s="297"/>
      <c r="V413" s="297"/>
      <c r="W413" s="467"/>
    </row>
    <row r="414" spans="1:23" ht="14" customHeight="1" x14ac:dyDescent="0.25">
      <c r="A414" s="332"/>
      <c r="B414" s="706"/>
      <c r="C414" s="700"/>
      <c r="D414" s="516"/>
      <c r="E414" s="516"/>
      <c r="F414" s="516"/>
      <c r="G414" s="516"/>
      <c r="H414" s="516"/>
      <c r="I414" s="516"/>
      <c r="J414" s="516"/>
      <c r="K414" s="516"/>
      <c r="L414" s="516"/>
      <c r="M414" s="516"/>
      <c r="N414" s="516"/>
      <c r="O414" s="516"/>
      <c r="P414" s="516"/>
      <c r="Q414" s="701"/>
      <c r="R414" s="467"/>
      <c r="S414" s="297"/>
      <c r="T414" s="297"/>
      <c r="U414" s="297"/>
      <c r="V414" s="297"/>
      <c r="W414" s="467"/>
    </row>
    <row r="415" spans="1:23" ht="14" customHeight="1" x14ac:dyDescent="0.25">
      <c r="A415" s="422"/>
      <c r="B415" s="422"/>
      <c r="C415" s="422"/>
      <c r="D415" s="422"/>
      <c r="E415" s="422"/>
      <c r="F415" s="422"/>
      <c r="G415" s="422"/>
      <c r="H415" s="422"/>
      <c r="I415" s="422"/>
      <c r="J415" s="422"/>
      <c r="K415" s="422"/>
      <c r="L415" s="422"/>
      <c r="M415" s="422"/>
      <c r="N415" s="422"/>
      <c r="O415" s="422"/>
      <c r="P415" s="422"/>
      <c r="Q415" s="422"/>
      <c r="R415" s="422"/>
      <c r="S415" s="422"/>
      <c r="T415" s="422"/>
      <c r="U415" s="422"/>
      <c r="V415" s="422"/>
      <c r="W415" s="422"/>
    </row>
  </sheetData>
  <mergeCells count="11">
    <mergeCell ref="N7:O7"/>
    <mergeCell ref="N6:O6"/>
    <mergeCell ref="T11:T31"/>
    <mergeCell ref="D24:E24"/>
    <mergeCell ref="H24:I24"/>
    <mergeCell ref="D6:F6"/>
    <mergeCell ref="D7:F7"/>
    <mergeCell ref="H7:J7"/>
    <mergeCell ref="H6:J6"/>
    <mergeCell ref="D9:E9"/>
    <mergeCell ref="H9:I9"/>
  </mergeCells>
  <pageMargins left="0.7" right="0.7" top="0.75" bottom="0.75" header="0.3" footer="0.3"/>
  <pageSetup paperSize="9" orientation="portrait" r:id="rId1"/>
  <drawing r:id="rId2"/>
  <tableParts count="5">
    <tablePart r:id="rId3"/>
    <tablePart r:id="rId4"/>
    <tablePart r:id="rId5"/>
    <tablePart r:id="rId6"/>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8B1"/>
  </sheetPr>
  <dimension ref="A1:W21"/>
  <sheetViews>
    <sheetView showGridLines="0" zoomScaleNormal="100" workbookViewId="0">
      <selection activeCell="I12" sqref="I12"/>
    </sheetView>
  </sheetViews>
  <sheetFormatPr defaultColWidth="9.28515625" defaultRowHeight="11.5" x14ac:dyDescent="0.25"/>
  <cols>
    <col min="1" max="2" width="1.640625" style="7" customWidth="1"/>
    <col min="3" max="4" width="2.640625" style="7" customWidth="1"/>
    <col min="5" max="5" width="30.640625" style="26" customWidth="1"/>
    <col min="6" max="6" width="2.640625" style="7" customWidth="1"/>
    <col min="7" max="7" width="8.640625" style="7" customWidth="1"/>
    <col min="8" max="8" width="1.640625" style="7" customWidth="1"/>
    <col min="9" max="9" width="89.28515625" style="7" customWidth="1"/>
    <col min="10" max="10" width="2.640625" style="7" customWidth="1"/>
    <col min="11" max="11" width="2.640625" style="6" customWidth="1"/>
    <col min="12" max="12" width="1.640625" style="7" customWidth="1"/>
    <col min="13" max="13" width="1.640625" style="22" customWidth="1"/>
    <col min="14" max="14" width="1.640625" style="122" customWidth="1"/>
    <col min="15" max="23" width="9.28515625" style="122"/>
    <col min="24" max="16384" width="9.28515625" style="7"/>
  </cols>
  <sheetData>
    <row r="1" spans="1:23" ht="13.5" customHeight="1" x14ac:dyDescent="0.25">
      <c r="A1" s="4"/>
      <c r="B1" s="4"/>
      <c r="C1" s="4"/>
      <c r="D1" s="4"/>
      <c r="E1" s="4"/>
      <c r="F1" s="4"/>
      <c r="G1" s="4"/>
      <c r="H1" s="4"/>
      <c r="I1" s="4"/>
      <c r="J1" s="4"/>
      <c r="K1" s="4"/>
      <c r="L1" s="4"/>
      <c r="M1" s="4"/>
    </row>
    <row r="2" spans="1:23" s="14" customFormat="1" ht="18" customHeight="1" x14ac:dyDescent="0.2">
      <c r="A2" s="8"/>
      <c r="B2" s="9"/>
      <c r="C2" s="65"/>
      <c r="D2" s="10"/>
      <c r="E2" s="11"/>
      <c r="F2" s="12"/>
      <c r="G2" s="12"/>
      <c r="H2" s="12"/>
      <c r="I2" s="10"/>
      <c r="J2" s="10"/>
      <c r="K2" s="11"/>
      <c r="L2" s="13"/>
      <c r="M2" s="8"/>
      <c r="N2" s="123"/>
      <c r="O2" s="123"/>
      <c r="P2" s="123"/>
      <c r="Q2" s="123"/>
      <c r="R2" s="123"/>
      <c r="S2" s="123"/>
      <c r="T2" s="123"/>
      <c r="U2" s="123"/>
      <c r="V2" s="123"/>
      <c r="W2" s="123"/>
    </row>
    <row r="3" spans="1:23" ht="18" customHeight="1" x14ac:dyDescent="0.25">
      <c r="A3" s="4"/>
      <c r="B3" s="15"/>
      <c r="D3" s="114" t="s">
        <v>513</v>
      </c>
      <c r="E3" s="112"/>
      <c r="F3" s="112"/>
      <c r="G3" s="112"/>
      <c r="H3" s="112"/>
      <c r="I3" s="112"/>
      <c r="J3" s="112"/>
      <c r="K3" s="112"/>
      <c r="L3" s="16"/>
      <c r="M3" s="4"/>
    </row>
    <row r="4" spans="1:23" ht="35" customHeight="1" x14ac:dyDescent="0.25">
      <c r="A4" s="4"/>
      <c r="B4" s="15"/>
      <c r="D4" s="115" t="str">
        <f>IF(VLOOKUP("KM70",Languages!$A:$D,1,TRUE)="KM70",VLOOKUP("KM70",Languages!$A:$D,Kybermittari!$C$7,TRUE),NA())</f>
        <v>Kyberturvallisuuden kypsyystaso</v>
      </c>
      <c r="E4" s="113"/>
      <c r="F4" s="113"/>
      <c r="G4" s="113"/>
      <c r="H4" s="113"/>
      <c r="I4" s="113"/>
      <c r="J4" s="113"/>
      <c r="K4" s="113"/>
      <c r="L4" s="16"/>
      <c r="M4" s="4"/>
    </row>
    <row r="5" spans="1:23" ht="20" customHeight="1" x14ac:dyDescent="0.25">
      <c r="A5" s="4"/>
      <c r="B5" s="15"/>
      <c r="C5" s="64"/>
      <c r="D5" s="147" t="str">
        <f>IF(VLOOKUP("KM62",Languages!$A:$D,1,TRUE)="KM62",VLOOKUP("KM62",Languages!$A:$D,Kybermittari!$C$7,TRUE),NA())</f>
        <v xml:space="preserve"> NIST Cybersecurity -viitekehyksen mukaisesti</v>
      </c>
      <c r="E5" s="147"/>
      <c r="F5" s="30"/>
      <c r="G5" s="30"/>
      <c r="H5" s="30"/>
      <c r="I5" s="20"/>
      <c r="J5" s="20"/>
      <c r="K5" s="28"/>
      <c r="L5" s="16"/>
      <c r="M5" s="4"/>
    </row>
    <row r="6" spans="1:23" ht="20" customHeight="1" x14ac:dyDescent="0.25">
      <c r="A6" s="4"/>
      <c r="B6" s="15"/>
      <c r="C6" s="64"/>
      <c r="D6" s="17"/>
      <c r="E6" s="18"/>
      <c r="F6" s="19"/>
      <c r="G6" s="19"/>
      <c r="H6" s="19"/>
      <c r="I6" s="20"/>
      <c r="J6" s="20"/>
      <c r="K6" s="28"/>
      <c r="L6" s="16"/>
      <c r="M6" s="4"/>
    </row>
    <row r="7" spans="1:23" ht="300" customHeight="1" x14ac:dyDescent="0.25">
      <c r="A7" s="4"/>
      <c r="B7" s="15"/>
      <c r="C7" s="64"/>
      <c r="D7" s="17"/>
      <c r="E7" s="18"/>
      <c r="F7" s="19"/>
      <c r="G7" s="19"/>
      <c r="H7" s="19"/>
      <c r="I7" s="20"/>
      <c r="J7" s="20"/>
      <c r="K7" s="28"/>
      <c r="L7" s="16"/>
      <c r="M7" s="4"/>
    </row>
    <row r="8" spans="1:23" ht="35" customHeight="1" x14ac:dyDescent="0.25">
      <c r="A8" s="4"/>
      <c r="B8" s="15"/>
      <c r="C8" s="64"/>
      <c r="D8" s="17"/>
      <c r="E8" s="18"/>
      <c r="F8" s="19"/>
      <c r="G8" s="19"/>
      <c r="H8" s="19"/>
      <c r="I8" s="20"/>
      <c r="J8" s="20"/>
      <c r="K8" s="28"/>
      <c r="L8" s="16"/>
      <c r="M8" s="4"/>
    </row>
    <row r="9" spans="1:23" ht="25" customHeight="1" x14ac:dyDescent="0.25">
      <c r="A9" s="4"/>
      <c r="B9" s="15"/>
      <c r="C9" s="64"/>
      <c r="D9" s="17"/>
      <c r="E9" s="18"/>
      <c r="F9" s="19"/>
      <c r="G9" s="19"/>
      <c r="H9" s="19"/>
      <c r="I9" s="20"/>
      <c r="J9" s="20"/>
      <c r="K9" s="28"/>
      <c r="L9" s="16"/>
      <c r="M9" s="4"/>
    </row>
    <row r="10" spans="1:23" ht="106.5" customHeight="1" x14ac:dyDescent="0.25">
      <c r="A10" s="4"/>
      <c r="B10" s="15"/>
      <c r="C10" s="64"/>
      <c r="D10" s="17" t="s">
        <v>961</v>
      </c>
      <c r="E10" s="42" t="str">
        <f>IF(VLOOKUP($D10,Languages!$A:$D,1,TRUE)=$D10,VLOOKUP($D10,Languages!$A:$D,Kybermittari!$C$7,TRUE),NA())</f>
        <v>Tunnistaminen</v>
      </c>
      <c r="F10" s="19"/>
      <c r="G10" s="41">
        <f ca="1">NISTMap!AC3</f>
        <v>0</v>
      </c>
      <c r="H10" s="46">
        <f ca="1">IF($G10&lt;0.3,0,IF($G10&lt;0.6,1,IF($G10&lt;0.9,2,3)))</f>
        <v>0</v>
      </c>
      <c r="I10" s="120" t="str">
        <f ca="1">IF(VLOOKUP(CONCATENATE($D10,"-",$H10),Languages!$A:$D,1,TRUE)=CONCATENATE($D10,"-",$H10),VLOOKUP(CONCATENATE($D10,"-",$H10),Languages!$A:$D,Kybermittari!$C$7,TRUE),NA())</f>
        <v>Organisaatiolla on hyvin rajoittunut kyky tunnistaa ja hallita kyberturvallisuusriskejä järjestelmiin, henkilöstöön, suojattaviin kohteisiin, tietoihin ja kriittisiin palveluihin liittyen. Tyypillisesti tämä johtaa resurssien ja investointien tehottomaan kohdentamiseen sekä epäonnistumiseen niiden kriittisten palveluiden suojaamisessa, joista organisaatio tai ulkoiset tahot ovat riippuvaisia. On olemassa korkea todennäköisyys odottamattomaan kyberturvallisuushäiriöön, joka vaikuttaa merkittävästi organisaation ydinprosesseihin.</v>
      </c>
      <c r="J10" s="120"/>
      <c r="K10" s="46"/>
      <c r="L10" s="16"/>
      <c r="M10" s="4"/>
    </row>
    <row r="11" spans="1:23" x14ac:dyDescent="0.25">
      <c r="A11" s="4"/>
      <c r="B11" s="15"/>
      <c r="C11" s="64"/>
      <c r="E11" s="18"/>
      <c r="F11" s="19"/>
      <c r="G11" s="19"/>
      <c r="H11" s="19"/>
      <c r="I11" s="48"/>
      <c r="J11" s="48"/>
      <c r="K11" s="46"/>
      <c r="L11" s="16"/>
      <c r="M11" s="4"/>
    </row>
    <row r="12" spans="1:23" ht="100" customHeight="1" x14ac:dyDescent="0.25">
      <c r="A12" s="4"/>
      <c r="B12" s="15"/>
      <c r="C12" s="64"/>
      <c r="D12" s="17" t="s">
        <v>962</v>
      </c>
      <c r="E12" s="42" t="str">
        <f>IF(VLOOKUP($D12,Languages!$A:$D,1,TRUE)=$D12,VLOOKUP($D12,Languages!$A:$D,Kybermittari!$C$7,TRUE),NA())</f>
        <v>Suojautuminen</v>
      </c>
      <c r="F12" s="19"/>
      <c r="G12" s="41">
        <f ca="1">NISTMap!AC4</f>
        <v>0</v>
      </c>
      <c r="H12" s="46">
        <f ca="1">IF($G12&lt;0.3,0,IF($G12&lt;0.6,1,IF($G12&lt;0.9,2,3)))</f>
        <v>0</v>
      </c>
      <c r="I12" s="120" t="str">
        <f ca="1">IF(VLOOKUP(CONCATENATE($D12,"-",$H12),Languages!$A:$D,1,TRUE)=CONCATENATE($D12,"-",$H12),VLOOKUP(CONCATENATE($D12,"-",$H12),Languages!$A:$D,Kybermittari!$C$7,TRUE),NA())</f>
        <v>Organisaatiolla on hyvin rajoittunut kyky suojata sen kriittisiä palveluita kyberturvallisuusuhilta ja -häiriöiltä. Tyypillisesti tämä tarkoittaa, että organisaatio kohtaa suuria määriä häiriöitä ja/tai niiden vaikutukset ovat merkittävästi suurempia kuin on tarpeen, johtavat tarpeettoman suuriin mainevaikutuksiin, kustannuksiin ja sisäisiin/ulkoisiin vaikutuksiin. Tämä korostuu entisestään jos tunnistuskyvykkyys on alhainen.</v>
      </c>
      <c r="J12" s="120"/>
      <c r="K12" s="46"/>
      <c r="L12" s="16"/>
      <c r="M12" s="4"/>
    </row>
    <row r="13" spans="1:23" x14ac:dyDescent="0.25">
      <c r="A13" s="4"/>
      <c r="B13" s="15"/>
      <c r="C13" s="64"/>
      <c r="E13" s="18"/>
      <c r="F13" s="19"/>
      <c r="G13" s="19"/>
      <c r="H13" s="46"/>
      <c r="I13" s="48"/>
      <c r="J13" s="48"/>
      <c r="K13" s="46"/>
      <c r="L13" s="16"/>
      <c r="M13" s="4"/>
    </row>
    <row r="14" spans="1:23" ht="100" customHeight="1" x14ac:dyDescent="0.25">
      <c r="A14" s="4"/>
      <c r="B14" s="15"/>
      <c r="C14" s="64"/>
      <c r="D14" s="17" t="s">
        <v>963</v>
      </c>
      <c r="E14" s="42" t="str">
        <f>IF(VLOOKUP($D14,Languages!$A:$D,1,TRUE)=$D14,VLOOKUP($D14,Languages!$A:$D,Kybermittari!$C$7,TRUE),NA())</f>
        <v>Havainnointi</v>
      </c>
      <c r="F14" s="19"/>
      <c r="G14" s="41">
        <f ca="1">NISTMap!AC5</f>
        <v>0</v>
      </c>
      <c r="H14" s="46">
        <f ca="1">IF($G14&lt;0.3,0,IF($G14&lt;0.6,1,IF($G14&lt;0.9,2,3)))</f>
        <v>0</v>
      </c>
      <c r="I14" s="120" t="str">
        <f ca="1">IF(VLOOKUP(CONCATENATE($D14,"-",$H14),Languages!$A:$D,1,TRUE)=CONCATENATE($D14,"-",$H14),VLOOKUP(CONCATENATE($D14,"-",$H14),Languages!$A:$D,Kybermittari!$C$7,TRUE),NA())</f>
        <v>Organisaatiolla on hyvin rajoittunut kyky havaita kyberturvallisuushäiriöitä niiden tapahtuessa. Tyypillisesti tämä tarkoittaa, että torjuntatoimenpiteet viivästyvät merkittävästi ja tapahtuvat vasta merkittävän tietovuodon tai vahingon jälkeen. Hyökkääjän haluamat vaikutukset realisoituvat yleensä kokonaisuudessaan.</v>
      </c>
      <c r="J14" s="120"/>
      <c r="K14" s="46"/>
      <c r="L14" s="16"/>
      <c r="M14" s="4"/>
    </row>
    <row r="15" spans="1:23" x14ac:dyDescent="0.25">
      <c r="A15" s="4"/>
      <c r="B15" s="15"/>
      <c r="C15" s="64"/>
      <c r="E15" s="18"/>
      <c r="F15" s="19"/>
      <c r="G15" s="19"/>
      <c r="H15" s="46"/>
      <c r="I15" s="48"/>
      <c r="J15" s="48"/>
      <c r="K15" s="46"/>
      <c r="L15" s="16"/>
      <c r="M15" s="4"/>
    </row>
    <row r="16" spans="1:23" ht="100" customHeight="1" x14ac:dyDescent="0.25">
      <c r="A16" s="4"/>
      <c r="B16" s="15"/>
      <c r="C16" s="64"/>
      <c r="D16" s="17" t="s">
        <v>964</v>
      </c>
      <c r="E16" s="42" t="str">
        <f>IF(VLOOKUP($D16,Languages!$A:$D,1,TRUE)=$D16,VLOOKUP($D16,Languages!$A:$D,Kybermittari!$C$7,TRUE),NA())</f>
        <v>Reagointi</v>
      </c>
      <c r="F16" s="19"/>
      <c r="G16" s="41">
        <f ca="1">NISTMap!AC6</f>
        <v>0</v>
      </c>
      <c r="H16" s="46">
        <f ca="1">IF($G16&lt;0.3,0,IF($G16&lt;0.6,1,IF($G16&lt;0.9,2,3)))</f>
        <v>0</v>
      </c>
      <c r="I16" s="120" t="str">
        <f ca="1">IF(VLOOKUP(CONCATENATE($D16,"-",$H16),Languages!$A:$D,1,TRUE)=CONCATENATE($D16,"-",$H16),VLOOKUP(CONCATENATE($D16,"-",$H16),Languages!$A:$D,Kybermittari!$C$7,TRUE),NA())</f>
        <v>Organisaatiolla on hyvin rajoittunut kyky aloittaa oikea-aikaiset ja koordinoidut torjuntatoimenpiteet kyberhyökkäyksiin vastaamiseksi. Tyypillisesti tämä tarkoittaa, että vaikka hyökkäys on tunnistettu ajoissa on edelleen todennäköistä, että hyökkäystä ja vahinkoja ei voida estää tai rajoittaa.</v>
      </c>
      <c r="J16" s="120"/>
      <c r="K16" s="46"/>
      <c r="L16" s="16"/>
      <c r="M16" s="4"/>
    </row>
    <row r="17" spans="1:23" x14ac:dyDescent="0.25">
      <c r="A17" s="4"/>
      <c r="B17" s="15"/>
      <c r="C17" s="64"/>
      <c r="E17" s="18"/>
      <c r="F17" s="19"/>
      <c r="G17" s="19"/>
      <c r="H17" s="46"/>
      <c r="I17" s="48"/>
      <c r="J17" s="48"/>
      <c r="K17" s="46"/>
      <c r="L17" s="16"/>
      <c r="M17" s="4"/>
    </row>
    <row r="18" spans="1:23" ht="100" customHeight="1" x14ac:dyDescent="0.25">
      <c r="A18" s="4"/>
      <c r="B18" s="15"/>
      <c r="C18" s="64"/>
      <c r="D18" s="17" t="s">
        <v>965</v>
      </c>
      <c r="E18" s="42" t="str">
        <f>IF(VLOOKUP($D18,Languages!$A:$D,1,TRUE)=$D18,VLOOKUP($D18,Languages!$A:$D,Kybermittari!$C$7,TRUE),NA())</f>
        <v>Palautuminen</v>
      </c>
      <c r="F18" s="19"/>
      <c r="G18" s="41">
        <f ca="1">NISTMap!AC7</f>
        <v>0</v>
      </c>
      <c r="H18" s="46">
        <f ca="1">IF($G18&lt;0.3,0,IF($G18&lt;0.6,1,IF($G18&lt;0.9,2,3)))</f>
        <v>0</v>
      </c>
      <c r="I18" s="120" t="str">
        <f ca="1">IF(VLOOKUP(CONCATENATE($D18,"-",$H18),Languages!$A:$D,1,TRUE)=CONCATENATE($D18,"-",$H18),VLOOKUP(CONCATENATE($D18,"-",$H18),Languages!$A:$D,Kybermittari!$C$7,TRUE),NA())</f>
        <v>Organisaatiolla on hyvin rajoittunut kyky käynnistää ja toteuttaa tarvittavat palautumistoimenpiteet kyberhyökkäyksestä toipumiseen. Tyypillisesti tämä tarkoittaa, että toipuminen kestää pitkään ja sen seurauksena mainehaitta, kustannukset ja häiriön vaikutukset voivat kohota merkittävästi.</v>
      </c>
      <c r="J18" s="120"/>
      <c r="K18" s="46"/>
      <c r="L18" s="16"/>
      <c r="M18" s="4"/>
    </row>
    <row r="19" spans="1:23" x14ac:dyDescent="0.25">
      <c r="A19" s="4"/>
      <c r="B19" s="15"/>
      <c r="C19" s="64"/>
      <c r="D19" s="17"/>
      <c r="E19" s="18"/>
      <c r="F19" s="19"/>
      <c r="G19" s="19"/>
      <c r="H19" s="19"/>
      <c r="I19" s="20"/>
      <c r="J19" s="20"/>
      <c r="K19" s="28"/>
      <c r="L19" s="16"/>
      <c r="M19" s="4"/>
    </row>
    <row r="20" spans="1:23" s="22" customFormat="1" x14ac:dyDescent="0.25">
      <c r="A20" s="21"/>
      <c r="B20" s="23"/>
      <c r="C20" s="31"/>
      <c r="D20" s="31"/>
      <c r="E20" s="32"/>
      <c r="F20" s="33"/>
      <c r="G20" s="33"/>
      <c r="H20" s="33"/>
      <c r="I20" s="31"/>
      <c r="J20" s="31"/>
      <c r="K20" s="29"/>
      <c r="L20" s="24"/>
      <c r="M20" s="21"/>
      <c r="N20" s="125"/>
      <c r="O20" s="125"/>
      <c r="P20" s="125"/>
      <c r="Q20" s="125"/>
      <c r="R20" s="125"/>
      <c r="S20" s="125"/>
      <c r="T20" s="125"/>
      <c r="U20" s="125"/>
      <c r="V20" s="125"/>
      <c r="W20" s="125"/>
    </row>
    <row r="21" spans="1:23" s="22" customFormat="1" x14ac:dyDescent="0.25">
      <c r="A21" s="21"/>
      <c r="B21" s="21"/>
      <c r="C21" s="21"/>
      <c r="D21" s="21"/>
      <c r="E21" s="21"/>
      <c r="F21" s="21"/>
      <c r="G21" s="21"/>
      <c r="H21" s="21"/>
      <c r="I21" s="21"/>
      <c r="J21" s="21"/>
      <c r="K21" s="21"/>
      <c r="L21" s="21"/>
      <c r="M21" s="21"/>
      <c r="N21" s="125"/>
      <c r="O21" s="125"/>
      <c r="P21" s="125"/>
      <c r="Q21" s="125"/>
      <c r="R21" s="125"/>
      <c r="S21" s="125"/>
      <c r="T21" s="125"/>
      <c r="U21" s="125"/>
      <c r="V21" s="125"/>
      <c r="W21" s="125"/>
    </row>
  </sheetData>
  <sheetProtection sheet="1" objects="1" scenarios="1"/>
  <pageMargins left="0.7" right="0.7" top="0.75" bottom="0.75" header="0.3" footer="0.3"/>
  <pageSetup paperSize="9" scale="4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8B1"/>
  </sheetPr>
  <dimension ref="A1:O55"/>
  <sheetViews>
    <sheetView showGridLines="0" topLeftCell="D10" zoomScaleNormal="100" zoomScalePageLayoutView="70" workbookViewId="0">
      <selection activeCell="C46" sqref="C46"/>
    </sheetView>
  </sheetViews>
  <sheetFormatPr defaultColWidth="9.28515625" defaultRowHeight="18" customHeight="1" x14ac:dyDescent="0.25"/>
  <cols>
    <col min="1" max="2" width="1.640625" style="7" customWidth="1"/>
    <col min="3" max="3" width="2.640625" style="7" customWidth="1"/>
    <col min="4" max="4" width="50.640625" style="22" customWidth="1"/>
    <col min="5" max="5" width="15.640625" style="77" customWidth="1"/>
    <col min="6" max="6" width="5.640625" style="7" customWidth="1"/>
    <col min="7" max="7" width="50.640625" style="7" customWidth="1"/>
    <col min="8" max="8" width="15.640625" style="7" customWidth="1"/>
    <col min="9" max="9" width="2.640625" style="7" customWidth="1"/>
    <col min="10" max="10" width="1.640625" style="7" customWidth="1"/>
    <col min="11" max="11" width="1.640625" style="22" customWidth="1"/>
    <col min="12" max="12" width="1.640625" style="76" customWidth="1"/>
    <col min="13" max="15" width="9.28515625" style="122"/>
    <col min="16" max="16384" width="9.28515625" style="7"/>
  </cols>
  <sheetData>
    <row r="1" spans="1:15" ht="13.5" customHeight="1" x14ac:dyDescent="0.25">
      <c r="A1" s="4"/>
      <c r="B1" s="4"/>
      <c r="C1" s="4"/>
      <c r="D1" s="5"/>
      <c r="E1" s="5"/>
      <c r="F1" s="4"/>
      <c r="G1" s="4"/>
      <c r="H1" s="4"/>
      <c r="I1" s="4"/>
      <c r="J1" s="4"/>
      <c r="K1" s="4"/>
      <c r="L1" s="73"/>
    </row>
    <row r="2" spans="1:15" s="14" customFormat="1" ht="18" customHeight="1" x14ac:dyDescent="0.2">
      <c r="A2" s="8"/>
      <c r="B2" s="9"/>
      <c r="C2" s="65"/>
      <c r="D2" s="65"/>
      <c r="E2" s="79"/>
      <c r="F2" s="65"/>
      <c r="G2" s="65"/>
      <c r="H2" s="65"/>
      <c r="I2" s="65"/>
      <c r="J2" s="13"/>
      <c r="K2" s="8"/>
      <c r="L2" s="74"/>
      <c r="M2" s="123"/>
      <c r="N2" s="123"/>
      <c r="O2" s="123"/>
    </row>
    <row r="3" spans="1:15" ht="18" customHeight="1" x14ac:dyDescent="0.25">
      <c r="A3" s="4"/>
      <c r="B3" s="15"/>
      <c r="D3" s="116" t="s">
        <v>513</v>
      </c>
      <c r="E3" s="116"/>
      <c r="F3" s="116"/>
      <c r="G3" s="116"/>
      <c r="H3" s="116"/>
      <c r="I3" s="83"/>
      <c r="J3" s="16"/>
      <c r="K3" s="4"/>
      <c r="L3" s="73"/>
    </row>
    <row r="4" spans="1:15" ht="35" customHeight="1" x14ac:dyDescent="0.25">
      <c r="A4" s="4"/>
      <c r="B4" s="15"/>
      <c r="D4" s="115" t="str">
        <f>IF(VLOOKUP("KM70",Languages!$A:$D,1,TRUE)="KM70",VLOOKUP("KM70",Languages!$A:$D,Kybermittari!$C$7,TRUE),NA())</f>
        <v>Kyberturvallisuuden kypsyystaso</v>
      </c>
      <c r="E4" s="117"/>
      <c r="F4" s="117"/>
      <c r="G4" s="117"/>
      <c r="H4" s="117"/>
      <c r="I4" s="82"/>
      <c r="J4" s="16"/>
      <c r="K4" s="4"/>
      <c r="L4" s="73"/>
    </row>
    <row r="5" spans="1:15" ht="20" customHeight="1" x14ac:dyDescent="0.25">
      <c r="A5" s="4"/>
      <c r="B5" s="15"/>
      <c r="D5" s="147" t="str">
        <f>IF(VLOOKUP("KM63",Languages!$A:$D,1,TRUE)="KM63",VLOOKUP("KM63",Languages!$A:$D,Kybermittari!$C$7,TRUE),NA())</f>
        <v xml:space="preserve"> Kyberturvallisuuden osioiden mukaisesti</v>
      </c>
      <c r="E5" s="117"/>
      <c r="F5" s="117"/>
      <c r="G5" s="117"/>
      <c r="H5" s="117"/>
      <c r="I5" s="82"/>
      <c r="J5" s="16"/>
      <c r="K5" s="4"/>
      <c r="L5" s="73"/>
    </row>
    <row r="6" spans="1:15" ht="20" customHeight="1" x14ac:dyDescent="0.45">
      <c r="A6" s="4"/>
      <c r="B6" s="15"/>
      <c r="C6" s="64"/>
      <c r="D6" s="789"/>
      <c r="E6" s="789"/>
      <c r="F6" s="789"/>
      <c r="G6" s="789"/>
      <c r="H6" s="62"/>
      <c r="I6" s="62"/>
      <c r="J6" s="16"/>
      <c r="K6" s="4"/>
      <c r="L6" s="73"/>
    </row>
    <row r="7" spans="1:15" s="27" customFormat="1" ht="300" customHeight="1" x14ac:dyDescent="0.45">
      <c r="A7" s="4"/>
      <c r="B7" s="68"/>
      <c r="C7" s="69"/>
      <c r="D7" s="100"/>
      <c r="E7" s="78"/>
      <c r="F7" s="62"/>
      <c r="G7" s="62"/>
      <c r="H7" s="71"/>
      <c r="I7" s="71"/>
      <c r="J7" s="70"/>
      <c r="K7" s="4"/>
      <c r="L7" s="73"/>
      <c r="M7" s="124"/>
      <c r="N7" s="124"/>
      <c r="O7" s="124"/>
    </row>
    <row r="8" spans="1:15" ht="35" customHeight="1" x14ac:dyDescent="0.25">
      <c r="A8" s="4"/>
      <c r="B8" s="56"/>
      <c r="C8" s="66"/>
      <c r="D8" s="97"/>
      <c r="E8" s="96"/>
      <c r="F8" s="94"/>
      <c r="G8" s="98"/>
      <c r="H8" s="95"/>
      <c r="I8" s="86"/>
      <c r="J8" s="59"/>
      <c r="K8" s="4"/>
      <c r="L8" s="73"/>
    </row>
    <row r="9" spans="1:15" ht="20" customHeight="1" x14ac:dyDescent="0.25">
      <c r="A9" s="55"/>
      <c r="B9" s="56"/>
      <c r="C9" s="66"/>
      <c r="D9" s="97"/>
      <c r="E9" s="96"/>
      <c r="F9" s="94"/>
      <c r="G9" s="98"/>
      <c r="H9" s="95"/>
      <c r="I9" s="86"/>
      <c r="J9" s="59"/>
      <c r="K9" s="55"/>
      <c r="L9" s="75"/>
    </row>
    <row r="10" spans="1:15" s="27" customFormat="1" ht="20" customHeight="1" x14ac:dyDescent="0.25">
      <c r="A10" s="4"/>
      <c r="B10" s="135"/>
      <c r="C10" s="129" t="s">
        <v>60</v>
      </c>
      <c r="D10" s="139" t="str">
        <f>IF(VLOOKUP(C10,Languages!$A:$D,1,TRUE)=C10,VLOOKUP(C10,Languages!$A:$D,Kybermittari!$C$7,TRUE),NA())</f>
        <v>Kriittisten palveluiden suojaaminen</v>
      </c>
      <c r="E10" s="140" t="str">
        <f ca="1">VLOOKUP(VLOOKUP(CONCATENATE(C10),Data!$K:$O,5,FALSE),Parameters!$C$7:$F$10,Kybermittari!$C$7,FALSE)</f>
        <v>Kypsyystaso 0</v>
      </c>
      <c r="F10" s="129" t="s">
        <v>72</v>
      </c>
      <c r="G10" s="139" t="str">
        <f>IF(VLOOKUP(F10,Languages!$A:$D,1,TRUE)=F10,VLOOKUP(F10,Languages!$A:$D,Kybermittari!$C$7,TRUE),NA())</f>
        <v>Tilannekuva</v>
      </c>
      <c r="H10" s="140" t="str">
        <f ca="1">VLOOKUP(VLOOKUP(CONCATENATE(F10),Data!$K:$O,5,FALSE),Parameters!$C$7:$F$10,Kybermittari!$C$7,FALSE)</f>
        <v>Kypsyystaso 0</v>
      </c>
      <c r="I10" s="84"/>
      <c r="J10" s="85"/>
      <c r="K10" s="4"/>
      <c r="L10" s="73"/>
      <c r="M10" s="124"/>
      <c r="N10" s="124"/>
      <c r="O10" s="124"/>
    </row>
    <row r="11" spans="1:15" s="27" customFormat="1" ht="20" customHeight="1" x14ac:dyDescent="0.25">
      <c r="A11" s="4"/>
      <c r="B11" s="136" t="s">
        <v>60</v>
      </c>
      <c r="C11" s="137">
        <v>1</v>
      </c>
      <c r="D11" s="92" t="str">
        <f>IF(VLOOKUP(CONCATENATE(B11,"-",C11),Languages!$A:$D,1,TRUE)=CONCATENATE(B11,"-",C11),VLOOKUP(CONCATENATE(B11,"-",C11),Languages!$A:$D,Kybermittari!$C$7,TRUE),NA())</f>
        <v>Kriittisten palveluiden ja niiden riippuvuuksien tunnistaminen</v>
      </c>
      <c r="E11" s="93" t="str">
        <f ca="1">VLOOKUP(VLOOKUP(CONCATENATE(B11,"-",C11),Data!$K:$O,5,FALSE),Parameters!$C$7:$F$10,Kybermittari!$C$7,FALSE)</f>
        <v>Kypsyystaso 0</v>
      </c>
      <c r="F11" s="138">
        <v>1</v>
      </c>
      <c r="G11" s="92" t="str">
        <f>IF(VLOOKUP(CONCATENATE(I11,"-",F11),Languages!$A:$D,1,TRUE)=CONCATENATE(I11,"-",F11),VLOOKUP(CONCATENATE(I11,"-",F11),Languages!$A:$D,Kybermittari!$C$7,TRUE),NA())</f>
        <v>Lokituksen toteuttaminen</v>
      </c>
      <c r="H11" s="93" t="str">
        <f ca="1">VLOOKUP(VLOOKUP(CONCATENATE(I11,"-",F11),Data!$K:$O,5,FALSE),Parameters!$C$7:$F$10,Kybermittari!$C$7,FALSE)</f>
        <v>Kypsyystaso 0</v>
      </c>
      <c r="I11" s="132" t="s">
        <v>72</v>
      </c>
      <c r="J11" s="85"/>
      <c r="K11" s="4"/>
      <c r="L11" s="73"/>
      <c r="M11" s="124"/>
      <c r="N11" s="124"/>
      <c r="O11" s="124"/>
    </row>
    <row r="12" spans="1:15" s="27" customFormat="1" ht="20" customHeight="1" x14ac:dyDescent="0.25">
      <c r="A12" s="4"/>
      <c r="B12" s="136" t="s">
        <v>60</v>
      </c>
      <c r="C12" s="137">
        <v>2</v>
      </c>
      <c r="D12" s="92" t="str">
        <f>IF(VLOOKUP(CONCATENATE(B12,"-",C12),Languages!$A:$D,1,TRUE)=CONCATENATE(B12,"-",C12),VLOOKUP(CONCATENATE(B12,"-",C12),Languages!$A:$D,Kybermittari!$C$7,TRUE),NA())</f>
        <v>Kriittisten palveluiden hallinta</v>
      </c>
      <c r="E12" s="93" t="str">
        <f ca="1">VLOOKUP(VLOOKUP(CONCATENATE(B12,"-",C12),Data!$K:$O,5,FALSE),Parameters!$C$7:$F$10,Kybermittari!$C$7,FALSE)</f>
        <v>Kypsyystaso 0</v>
      </c>
      <c r="F12" s="138">
        <v>2</v>
      </c>
      <c r="G12" s="92" t="str">
        <f>IF(VLOOKUP(CONCATENATE(I12,"-",F12),Languages!$A:$D,1,TRUE)=CONCATENATE(I12,"-",F12),VLOOKUP(CONCATENATE(I12,"-",F12),Languages!$A:$D,Kybermittari!$C$7,TRUE),NA())</f>
        <v>Monitoroinnin toteuttaminen</v>
      </c>
      <c r="H12" s="93" t="str">
        <f ca="1">VLOOKUP(VLOOKUP(CONCATENATE(I12,"-",F12),Data!$K:$O,5,FALSE),Parameters!$C$7:$F$10,Kybermittari!$C$7,FALSE)</f>
        <v>Kypsyystaso 0</v>
      </c>
      <c r="I12" s="132" t="s">
        <v>72</v>
      </c>
      <c r="J12" s="85"/>
      <c r="K12" s="4"/>
      <c r="L12" s="73"/>
      <c r="M12" s="124"/>
      <c r="N12" s="124"/>
      <c r="O12" s="124"/>
    </row>
    <row r="13" spans="1:15" s="27" customFormat="1" ht="20" customHeight="1" x14ac:dyDescent="0.25">
      <c r="A13" s="4"/>
      <c r="B13" s="136" t="s">
        <v>60</v>
      </c>
      <c r="C13" s="137">
        <v>3</v>
      </c>
      <c r="D13" s="92" t="str">
        <f>IF(VLOOKUP(CONCATENATE(B13,"-",C13),Languages!$A:$D,1,TRUE)=CONCATENATE(B13,"-",C13),VLOOKUP(CONCATENATE(B13,"-",C13),Languages!$A:$D,Kybermittari!$C$7,TRUE),NA())</f>
        <v>Kriittisten palveluiden kyberhäiriöiden vaikutusten minimointi</v>
      </c>
      <c r="E13" s="93" t="str">
        <f ca="1">VLOOKUP(VLOOKUP(CONCATENATE(B13,"-",C13),Data!$K:$O,5,FALSE),Parameters!$C$7:$F$10,Kybermittari!$C$7,FALSE)</f>
        <v>Kypsyystaso 0</v>
      </c>
      <c r="F13" s="138">
        <v>3</v>
      </c>
      <c r="G13" s="92" t="str">
        <f>IF(VLOOKUP(CONCATENATE(I13,"-",F13),Languages!$A:$D,1,TRUE)=CONCATENATE(I13,"-",F13),VLOOKUP(CONCATENATE(I13,"-",F13),Languages!$A:$D,Kybermittari!$C$7,TRUE),NA())</f>
        <v>Tilannekuvan muodostaminen</v>
      </c>
      <c r="H13" s="93" t="str">
        <f ca="1">VLOOKUP(VLOOKUP(CONCATENATE(I13,"-",F13),Data!$K:$O,5,FALSE),Parameters!$C$7:$F$10,Kybermittari!$C$7,FALSE)</f>
        <v>Kypsyystaso 1</v>
      </c>
      <c r="I13" s="132" t="s">
        <v>72</v>
      </c>
      <c r="J13" s="85"/>
      <c r="K13" s="4"/>
      <c r="L13" s="73"/>
      <c r="M13" s="124"/>
      <c r="N13" s="124"/>
      <c r="O13" s="124"/>
    </row>
    <row r="14" spans="1:15" ht="20" customHeight="1" x14ac:dyDescent="0.25">
      <c r="A14" s="4"/>
      <c r="B14" s="136"/>
      <c r="C14" s="137"/>
      <c r="D14" s="88"/>
      <c r="E14" s="87"/>
      <c r="F14" s="119">
        <v>4</v>
      </c>
      <c r="G14" s="92" t="str">
        <f>IF(VLOOKUP(CONCATENATE(I14,"-",F14),Languages!$A:$D,1,TRUE)=CONCATENATE(I14,"-",F14),VLOOKUP(CONCATENATE(I14,"-",F14),Languages!$A:$D,Kybermittari!$C$7,TRUE),NA())</f>
        <v>Yleisiä hallintatoimia</v>
      </c>
      <c r="H14" s="93" t="str">
        <f ca="1">VLOOKUP(VLOOKUP(CONCATENATE(I14,"-",F14),Data!$K:$O,5,FALSE),Parameters!$C$7:$F$10,Kybermittari!$C$7,FALSE)</f>
        <v>Kypsyystaso 1</v>
      </c>
      <c r="I14" s="132" t="s">
        <v>72</v>
      </c>
      <c r="J14" s="59"/>
      <c r="K14" s="4"/>
      <c r="L14" s="73"/>
    </row>
    <row r="15" spans="1:15" ht="20" customHeight="1" x14ac:dyDescent="0.25">
      <c r="A15" s="4"/>
      <c r="B15" s="136"/>
      <c r="C15" s="129" t="s">
        <v>0</v>
      </c>
      <c r="D15" s="139" t="str">
        <f>IF(VLOOKUP(C15,Languages!$A:$D,1,TRUE)=C15,VLOOKUP(C15,Languages!$A:$D,Kybermittari!$C$7,TRUE),NA())</f>
        <v>Riskienhallinta</v>
      </c>
      <c r="E15" s="140" t="str">
        <f ca="1">VLOOKUP(VLOOKUP(CONCATENATE(C15),Data!$K:$O,5,FALSE),Parameters!$C$7:$F$10,Kybermittari!$C$7,FALSE)</f>
        <v>Kypsyystaso 0</v>
      </c>
      <c r="F15" s="119"/>
      <c r="G15" s="88"/>
      <c r="H15" s="87"/>
      <c r="I15" s="133"/>
      <c r="J15" s="59"/>
      <c r="K15" s="4"/>
      <c r="L15" s="73"/>
    </row>
    <row r="16" spans="1:15" ht="20" customHeight="1" x14ac:dyDescent="0.25">
      <c r="A16" s="4"/>
      <c r="B16" s="136" t="s">
        <v>0</v>
      </c>
      <c r="C16" s="137">
        <v>1</v>
      </c>
      <c r="D16" s="92" t="str">
        <f>IF(VLOOKUP(CONCATENATE(B16,"-",C16),Languages!$A:$D,1,TRUE)=CONCATENATE(B16,"-",C16),VLOOKUP(CONCATENATE(B16,"-",C16),Languages!$A:$D,Kybermittari!$C$7,TRUE),NA())</f>
        <v>Kyberturvallisuusriskien hallinta</v>
      </c>
      <c r="E16" s="93" t="str">
        <f ca="1">VLOOKUP(VLOOKUP(CONCATENATE(B16,"-",C16),Data!$K:$O,5,FALSE),Parameters!$C$7:$F$10,Kybermittari!$C$7,FALSE)</f>
        <v>Kypsyystaso 0</v>
      </c>
      <c r="F16" s="129" t="s">
        <v>74</v>
      </c>
      <c r="G16" s="139" t="str">
        <f>IF(VLOOKUP(F16,Languages!$A:$D,1,TRUE)=F16,VLOOKUP(F16,Languages!$A:$D,Kybermittari!$C$7,TRUE),NA())</f>
        <v>Tapahtumien ja häiriötilanteiden hallinta</v>
      </c>
      <c r="H16" s="140" t="str">
        <f ca="1">VLOOKUP(VLOOKUP(CONCATENATE(F16),Data!$K:$O,5,FALSE),Parameters!$C$7:$F$10,Kybermittari!$C$7,FALSE)</f>
        <v>Kypsyystaso 0</v>
      </c>
      <c r="I16" s="99"/>
      <c r="J16" s="59"/>
      <c r="K16" s="4"/>
      <c r="L16" s="73"/>
    </row>
    <row r="17" spans="1:12" ht="20" customHeight="1" x14ac:dyDescent="0.25">
      <c r="A17" s="4"/>
      <c r="B17" s="136" t="s">
        <v>0</v>
      </c>
      <c r="C17" s="137">
        <v>2</v>
      </c>
      <c r="D17" s="92" t="str">
        <f>IF(VLOOKUP(CONCATENATE(B17,"-",C17),Languages!$A:$D,1,TRUE)=CONCATENATE(B17,"-",C17),VLOOKUP(CONCATENATE(B17,"-",C17),Languages!$A:$D,Kybermittari!$C$7,TRUE),NA())</f>
        <v>Strategia kyberturvallisuusriskien hallintaan</v>
      </c>
      <c r="E17" s="93" t="str">
        <f ca="1">VLOOKUP(VLOOKUP(CONCATENATE(B17,"-",C17),Data!$K:$O,5,FALSE),Parameters!$C$7:$F$10,Kybermittari!$C$7,FALSE)</f>
        <v>Kypsyystaso 1</v>
      </c>
      <c r="F17" s="138">
        <v>1</v>
      </c>
      <c r="G17" s="92" t="str">
        <f>IF(VLOOKUP(CONCATENATE(I17,"-",F17),Languages!$A:$D,1,TRUE)=CONCATENATE(I17,"-",F17),VLOOKUP(CONCATENATE(I17,"-",F17),Languages!$A:$D,Kybermittari!$C$7,TRUE),NA())</f>
        <v>Kybertapahtumien havainnointi</v>
      </c>
      <c r="H17" s="93" t="str">
        <f ca="1">VLOOKUP(VLOOKUP(CONCATENATE(I17,"-",F17),Data!$K:$O,5,FALSE),Parameters!$C$7:$F$10,Kybermittari!$C$7,FALSE)</f>
        <v>Kypsyystaso 0</v>
      </c>
      <c r="I17" s="132" t="s">
        <v>74</v>
      </c>
      <c r="J17" s="59"/>
      <c r="K17" s="4"/>
      <c r="L17" s="73"/>
    </row>
    <row r="18" spans="1:12" ht="20" customHeight="1" x14ac:dyDescent="0.25">
      <c r="A18" s="4"/>
      <c r="B18" s="136" t="s">
        <v>0</v>
      </c>
      <c r="C18" s="137">
        <v>3</v>
      </c>
      <c r="D18" s="92" t="str">
        <f>IF(VLOOKUP(CONCATENATE(B18,"-",C18),Languages!$A:$D,1,TRUE)=CONCATENATE(B18,"-",C18),VLOOKUP(CONCATENATE(B18,"-",C18),Languages!$A:$D,Kybermittari!$C$7,TRUE),NA())</f>
        <v>Yleisiä hallintatoimia</v>
      </c>
      <c r="E18" s="93" t="str">
        <f ca="1">VLOOKUP(VLOOKUP(CONCATENATE(B18,"-",C18),Data!$K:$O,5,FALSE),Parameters!$C$7:$F$10,Kybermittari!$C$7,FALSE)</f>
        <v>Kypsyystaso 1</v>
      </c>
      <c r="F18" s="138">
        <v>2</v>
      </c>
      <c r="G18" s="92" t="str">
        <f>IF(VLOOKUP(CONCATENATE(I18,"-",F18),Languages!$A:$D,1,TRUE)=CONCATENATE(I18,"-",F18),VLOOKUP(CONCATENATE(I18,"-",F18),Languages!$A:$D,Kybermittari!$C$7,TRUE),NA())</f>
        <v>Kybertapahtumien analysointi ja häiriöksi korottaminen</v>
      </c>
      <c r="H18" s="93" t="str">
        <f ca="1">VLOOKUP(VLOOKUP(CONCATENATE(I18,"-",F18),Data!$K:$O,5,FALSE),Parameters!$C$7:$F$10,Kybermittari!$C$7,FALSE)</f>
        <v>Kypsyystaso 0</v>
      </c>
      <c r="I18" s="132" t="s">
        <v>74</v>
      </c>
      <c r="J18" s="59"/>
      <c r="K18" s="4"/>
      <c r="L18" s="73"/>
    </row>
    <row r="19" spans="1:12" ht="20" customHeight="1" x14ac:dyDescent="0.25">
      <c r="A19" s="4"/>
      <c r="B19" s="136"/>
      <c r="C19" s="137"/>
      <c r="D19" s="88"/>
      <c r="E19" s="87"/>
      <c r="F19" s="138">
        <v>3</v>
      </c>
      <c r="G19" s="92" t="str">
        <f>IF(VLOOKUP(CONCATENATE(I19,"-",F19),Languages!$A:$D,1,TRUE)=CONCATENATE(I19,"-",F19),VLOOKUP(CONCATENATE(I19,"-",F19),Languages!$A:$D,Kybermittari!$C$7,TRUE),NA())</f>
        <v>Kybertapahtumiin ja -häiriötilanteisiin reagointi</v>
      </c>
      <c r="H19" s="93" t="str">
        <f ca="1">VLOOKUP(VLOOKUP(CONCATENATE(I19,"-",F19),Data!$K:$O,5,FALSE),Parameters!$C$7:$F$10,Kybermittari!$C$7,FALSE)</f>
        <v>Kypsyystaso 0</v>
      </c>
      <c r="I19" s="132" t="s">
        <v>74</v>
      </c>
      <c r="J19" s="59"/>
      <c r="K19" s="4"/>
      <c r="L19" s="73"/>
    </row>
    <row r="20" spans="1:12" ht="20" customHeight="1" x14ac:dyDescent="0.25">
      <c r="A20" s="4"/>
      <c r="B20" s="136"/>
      <c r="C20" s="129" t="s">
        <v>77</v>
      </c>
      <c r="D20" s="139" t="str">
        <f>IF(VLOOKUP(C20,Languages!$A:$D,1,TRUE)=C20,VLOOKUP(C20,Languages!$A:$D,Kybermittari!$C$7,TRUE),NA())</f>
        <v>Toimitusketjun ja ulkoisten riippuvuuksien hallinta</v>
      </c>
      <c r="E20" s="140" t="str">
        <f ca="1">VLOOKUP(VLOOKUP(CONCATENATE(C20),Data!$K:$O,5,FALSE),Parameters!$C$7:$F$10,Kybermittari!$C$7,FALSE)</f>
        <v>Kypsyystaso 0</v>
      </c>
      <c r="F20" s="119">
        <v>4</v>
      </c>
      <c r="G20" s="92" t="str">
        <f>IF(VLOOKUP(CONCATENATE(I20,"-",F20),Languages!$A:$D,1,TRUE)=CONCATENATE(I20,"-",F20),VLOOKUP(CONCATENATE(I20,"-",F20),Languages!$A:$D,Kybermittari!$C$7,TRUE),NA())</f>
        <v>Yleisiä hallintatoimia</v>
      </c>
      <c r="H20" s="93" t="str">
        <f ca="1">VLOOKUP(VLOOKUP(CONCATENATE(I20,"-",F20),Data!$K:$O,5,FALSE),Parameters!$C$7:$F$10,Kybermittari!$C$7,FALSE)</f>
        <v>Kypsyystaso 1</v>
      </c>
      <c r="I20" s="132" t="s">
        <v>74</v>
      </c>
      <c r="J20" s="59"/>
      <c r="K20" s="4"/>
      <c r="L20" s="73"/>
    </row>
    <row r="21" spans="1:12" ht="20" customHeight="1" x14ac:dyDescent="0.25">
      <c r="A21" s="4"/>
      <c r="B21" s="136" t="s">
        <v>77</v>
      </c>
      <c r="C21" s="137">
        <v>1</v>
      </c>
      <c r="D21" s="92" t="str">
        <f>IF(VLOOKUP(CONCATENATE(B21,"-",C21),Languages!$A:$D,1,TRUE)=CONCATENATE(B21,"-",C21),VLOOKUP(CONCATENATE(B21,"-",C21),Languages!$A:$D,Kybermittari!$C$7,TRUE),NA())</f>
        <v>Riippuvuuksien tunnistaminen</v>
      </c>
      <c r="E21" s="93" t="str">
        <f ca="1">VLOOKUP(VLOOKUP(CONCATENATE(B21,"-",C21),Data!$K:$O,5,FALSE),Parameters!$C$7:$F$10,Kybermittari!$C$7,FALSE)</f>
        <v>Kypsyystaso 0</v>
      </c>
      <c r="F21" s="119"/>
      <c r="G21" s="88"/>
      <c r="H21" s="87"/>
      <c r="I21" s="133"/>
      <c r="J21" s="59"/>
      <c r="K21" s="4"/>
      <c r="L21" s="73"/>
    </row>
    <row r="22" spans="1:12" ht="20" customHeight="1" x14ac:dyDescent="0.25">
      <c r="A22" s="4"/>
      <c r="B22" s="136" t="s">
        <v>77</v>
      </c>
      <c r="C22" s="137">
        <v>2</v>
      </c>
      <c r="D22" s="92" t="str">
        <f>IF(VLOOKUP(CONCATENATE(B22,"-",C22),Languages!$A:$D,1,TRUE)=CONCATENATE(B22,"-",C22),VLOOKUP(CONCATENATE(B22,"-",C22),Languages!$A:$D,Kybermittari!$C$7,TRUE),NA())</f>
        <v>Riippuvuusriskien hallinta</v>
      </c>
      <c r="E22" s="93" t="str">
        <f ca="1">VLOOKUP(VLOOKUP(CONCATENATE(B22,"-",C22),Data!$K:$O,5,FALSE),Parameters!$C$7:$F$10,Kybermittari!$C$7,FALSE)</f>
        <v>Kypsyystaso 0</v>
      </c>
      <c r="F22" s="129" t="s">
        <v>80</v>
      </c>
      <c r="G22" s="139" t="str">
        <f>IF(VLOOKUP(F22,Languages!$A:$D,1,TRUE)=F22,VLOOKUP(F22,Languages!$A:$D,Kybermittari!$C$7,TRUE),NA())</f>
        <v>Henkilöstön hallinta</v>
      </c>
      <c r="H22" s="140" t="str">
        <f ca="1">VLOOKUP(VLOOKUP(CONCATENATE(F22),Data!$K:$O,5,FALSE),Parameters!$C$7:$F$10,Kybermittari!$C$7,FALSE)</f>
        <v>Kypsyystaso 0</v>
      </c>
      <c r="I22" s="99"/>
      <c r="J22" s="59"/>
      <c r="K22" s="4"/>
      <c r="L22" s="73"/>
    </row>
    <row r="23" spans="1:12" ht="20" customHeight="1" x14ac:dyDescent="0.25">
      <c r="A23" s="4"/>
      <c r="B23" s="136" t="s">
        <v>77</v>
      </c>
      <c r="C23" s="137">
        <v>3</v>
      </c>
      <c r="D23" s="92" t="str">
        <f>IF(VLOOKUP(CONCATENATE(B23,"-",C23),Languages!$A:$D,1,TRUE)=CONCATENATE(B23,"-",C23),VLOOKUP(CONCATENATE(B23,"-",C23),Languages!$A:$D,Kybermittari!$C$7,TRUE),NA())</f>
        <v>Yleisiä hallintatoimia</v>
      </c>
      <c r="E23" s="93" t="str">
        <f ca="1">VLOOKUP(VLOOKUP(CONCATENATE(B23,"-",C23),Data!$K:$O,5,FALSE),Parameters!$C$7:$F$10,Kybermittari!$C$7,FALSE)</f>
        <v>Kypsyystaso 1</v>
      </c>
      <c r="F23" s="138">
        <v>1</v>
      </c>
      <c r="G23" s="92" t="str">
        <f>IF(VLOOKUP(CONCATENATE(I23,"-",F23),Languages!$A:$D,1,TRUE)=CONCATENATE(I23,"-",F23),VLOOKUP(CONCATENATE(I23,"-",F23),Languages!$A:$D,Kybermittari!$C$7,TRUE),NA())</f>
        <v>Kyberturvallisuuden vastuiden jakaminen</v>
      </c>
      <c r="H23" s="93" t="str">
        <f ca="1">VLOOKUP(VLOOKUP(CONCATENATE(I23,"-",F23),Data!$K:$O,5,FALSE),Parameters!$C$7:$F$10,Kybermittari!$C$7,FALSE)</f>
        <v>Kypsyystaso 0</v>
      </c>
      <c r="I23" s="132" t="s">
        <v>80</v>
      </c>
      <c r="J23" s="59"/>
      <c r="K23" s="4"/>
      <c r="L23" s="73"/>
    </row>
    <row r="24" spans="1:12" ht="20" customHeight="1" x14ac:dyDescent="0.25">
      <c r="A24" s="4"/>
      <c r="B24" s="136"/>
      <c r="C24" s="137"/>
      <c r="D24" s="88"/>
      <c r="E24" s="87"/>
      <c r="F24" s="138">
        <v>2</v>
      </c>
      <c r="G24" s="92" t="str">
        <f>IF(VLOOKUP(CONCATENATE(I24,"-",F24),Languages!$A:$D,1,TRUE)=CONCATENATE(I24,"-",F24),VLOOKUP(CONCATENATE(I24,"-",F24),Languages!$A:$D,Kybermittari!$C$7,TRUE),NA())</f>
        <v>Kyberhenkilöstön kehittäminen</v>
      </c>
      <c r="H24" s="93" t="str">
        <f ca="1">VLOOKUP(VLOOKUP(CONCATENATE(I24,"-",F24),Data!$K:$O,5,FALSE),Parameters!$C$7:$F$10,Kybermittari!$C$7,FALSE)</f>
        <v>Kypsyystaso 0</v>
      </c>
      <c r="I24" s="132" t="s">
        <v>80</v>
      </c>
      <c r="J24" s="59"/>
      <c r="K24" s="4"/>
      <c r="L24" s="73"/>
    </row>
    <row r="25" spans="1:12" ht="20" customHeight="1" x14ac:dyDescent="0.25">
      <c r="A25" s="4"/>
      <c r="B25" s="136"/>
      <c r="C25" s="129" t="s">
        <v>51</v>
      </c>
      <c r="D25" s="139" t="str">
        <f>IF(VLOOKUP(C25,Languages!$A:$D,1,TRUE)=C25,VLOOKUP(C25,Languages!$A:$D,Kybermittari!$C$7,TRUE),NA())</f>
        <v>Omaisuuden, muutoksen ja konfiguraation hallinta</v>
      </c>
      <c r="E25" s="140" t="str">
        <f ca="1">VLOOKUP(VLOOKUP(CONCATENATE(C25),Data!$K:$O,5,FALSE),Parameters!$C$7:$F$10,Kybermittari!$C$7,FALSE)</f>
        <v>Kypsyystaso 0</v>
      </c>
      <c r="F25" s="138">
        <v>3</v>
      </c>
      <c r="G25" s="92" t="str">
        <f>IF(VLOOKUP(CONCATENATE(I25,"-",F25),Languages!$A:$D,1,TRUE)=CONCATENATE(I25,"-",F25),VLOOKUP(CONCATENATE(I25,"-",F25),Languages!$A:$D,Kybermittari!$C$7,TRUE),NA())</f>
        <v>Henkilöstön hallintatoimet</v>
      </c>
      <c r="H25" s="93" t="str">
        <f ca="1">VLOOKUP(VLOOKUP(CONCATENATE(I25,"-",F25),Data!$K:$O,5,FALSE),Parameters!$C$7:$F$10,Kybermittari!$C$7,FALSE)</f>
        <v>Kypsyystaso 0</v>
      </c>
      <c r="I25" s="132" t="s">
        <v>80</v>
      </c>
      <c r="J25" s="59"/>
      <c r="K25" s="4"/>
      <c r="L25" s="73"/>
    </row>
    <row r="26" spans="1:12" ht="20" customHeight="1" x14ac:dyDescent="0.25">
      <c r="A26" s="4"/>
      <c r="B26" s="136" t="s">
        <v>51</v>
      </c>
      <c r="C26" s="137">
        <v>1</v>
      </c>
      <c r="D26" s="92" t="str">
        <f>IF(VLOOKUP(CONCATENATE(B26,"-",C26),Languages!$A:$D,1,TRUE)=CONCATENATE(B26,"-",C26),VLOOKUP(CONCATENATE(B26,"-",C26),Languages!$A:$D,Kybermittari!$C$7,TRUE),NA())</f>
        <v>IT- ja OT-omaisuuden rekisterin hallinta</v>
      </c>
      <c r="E26" s="93" t="str">
        <f ca="1">VLOOKUP(VLOOKUP(CONCATENATE(B26,"-",C26),Data!$K:$O,5,FALSE),Parameters!$C$7:$F$10,Kybermittari!$C$7,FALSE)</f>
        <v>Kypsyystaso 0</v>
      </c>
      <c r="F26" s="119">
        <v>4</v>
      </c>
      <c r="G26" s="92" t="str">
        <f>IF(VLOOKUP(CONCATENATE(I26,"-",F26),Languages!$A:$D,1,TRUE)=CONCATENATE(I26,"-",F26),VLOOKUP(CONCATENATE(I26,"-",F26),Languages!$A:$D,Kybermittari!$C$7,TRUE),NA())</f>
        <v>Kybertietoisuuden lisääminen</v>
      </c>
      <c r="H26" s="93" t="str">
        <f ca="1">VLOOKUP(VLOOKUP(CONCATENATE(I26,"-",F26),Data!$K:$O,5,FALSE),Parameters!$C$7:$F$10,Kybermittari!$C$7,FALSE)</f>
        <v>Kypsyystaso 0</v>
      </c>
      <c r="I26" s="132" t="s">
        <v>80</v>
      </c>
      <c r="J26" s="59"/>
      <c r="K26" s="4"/>
      <c r="L26" s="73"/>
    </row>
    <row r="27" spans="1:12" ht="20" customHeight="1" x14ac:dyDescent="0.25">
      <c r="A27" s="4"/>
      <c r="B27" s="136" t="s">
        <v>51</v>
      </c>
      <c r="C27" s="137">
        <v>2</v>
      </c>
      <c r="D27" s="92" t="str">
        <f>IF(VLOOKUP(CONCATENATE(B27,"-",C27),Languages!$A:$D,1,TRUE)=CONCATENATE(B27,"-",C27),VLOOKUP(CONCATENATE(B27,"-",C27),Languages!$A:$D,Kybermittari!$C$7,TRUE),NA())</f>
        <v>Tietovarantojen rekisterin hallinta</v>
      </c>
      <c r="E27" s="93" t="str">
        <f ca="1">VLOOKUP(VLOOKUP(CONCATENATE(B27,"-",C27),Data!$K:$O,5,FALSE),Parameters!$C$7:$F$10,Kybermittari!$C$7,FALSE)</f>
        <v>Kypsyystaso 0</v>
      </c>
      <c r="F27" s="119">
        <v>5</v>
      </c>
      <c r="G27" s="92" t="str">
        <f>IF(VLOOKUP(CONCATENATE(I27,"-",F27),Languages!$A:$D,1,TRUE)=CONCATENATE(I27,"-",F27),VLOOKUP(CONCATENATE(I27,"-",F27),Languages!$A:$D,Kybermittari!$C$7,TRUE),NA())</f>
        <v>Yleisiä hallintatoimia</v>
      </c>
      <c r="H27" s="93" t="str">
        <f ca="1">VLOOKUP(VLOOKUP(CONCATENATE(I27,"-",F27),Data!$K:$O,5,FALSE),Parameters!$C$7:$F$10,Kybermittari!$C$7,FALSE)</f>
        <v>Kypsyystaso 1</v>
      </c>
      <c r="I27" s="132" t="s">
        <v>80</v>
      </c>
      <c r="J27" s="59"/>
      <c r="K27" s="4"/>
      <c r="L27" s="73"/>
    </row>
    <row r="28" spans="1:12" ht="20" customHeight="1" x14ac:dyDescent="0.25">
      <c r="A28" s="4"/>
      <c r="B28" s="136" t="s">
        <v>51</v>
      </c>
      <c r="C28" s="137">
        <v>3</v>
      </c>
      <c r="D28" s="92" t="str">
        <f>IF(VLOOKUP(CONCATENATE(B28,"-",C28),Languages!$A:$D,1,TRUE)=CONCATENATE(B28,"-",C28),VLOOKUP(CONCATENATE(B28,"-",C28),Languages!$A:$D,Kybermittari!$C$7,TRUE),NA())</f>
        <v>Suojattavan omaisuuden konfiguraation hallinta</v>
      </c>
      <c r="E28" s="93" t="str">
        <f ca="1">VLOOKUP(VLOOKUP(CONCATENATE(B28,"-",C28),Data!$K:$O,5,FALSE),Parameters!$C$7:$F$10,Kybermittari!$C$7,FALSE)</f>
        <v>Kypsyystaso 0</v>
      </c>
      <c r="F28" s="119"/>
      <c r="G28" s="88"/>
      <c r="H28" s="87"/>
      <c r="I28" s="133"/>
      <c r="J28" s="59"/>
      <c r="K28" s="4"/>
      <c r="L28" s="73"/>
    </row>
    <row r="29" spans="1:12" ht="20" customHeight="1" x14ac:dyDescent="0.25">
      <c r="A29" s="4"/>
      <c r="B29" s="136" t="s">
        <v>51</v>
      </c>
      <c r="C29" s="137">
        <v>4</v>
      </c>
      <c r="D29" s="92" t="str">
        <f>IF(VLOOKUP(CONCATENATE(B29,"-",C29),Languages!$A:$D,1,TRUE)=CONCATENATE(B29,"-",C29),VLOOKUP(CONCATENATE(B29,"-",C29),Languages!$A:$D,Kybermittari!$C$7,TRUE),NA())</f>
        <v>Suojattavien kohteiden muutoksenhallinta</v>
      </c>
      <c r="E29" s="93" t="str">
        <f ca="1">VLOOKUP(VLOOKUP(CONCATENATE(B29,"-",C29),Data!$K:$O,5,FALSE),Parameters!$C$7:$F$10,Kybermittari!$C$7,FALSE)</f>
        <v>Kypsyystaso 0</v>
      </c>
      <c r="F29" s="129" t="s">
        <v>83</v>
      </c>
      <c r="G29" s="139" t="str">
        <f>IF(VLOOKUP(F29,Languages!$A:$D,1,TRUE)=F29,VLOOKUP(F29,Languages!$A:$D,Kybermittari!$C$7,TRUE),NA())</f>
        <v>Kyberturvallisuusarkkitehtuuri</v>
      </c>
      <c r="H29" s="140" t="str">
        <f ca="1">VLOOKUP(VLOOKUP(CONCATENATE(F29),Data!$K:$O,5,FALSE),Parameters!$C$7:$F$10,Kybermittari!$C$7,FALSE)</f>
        <v>Kypsyystaso 0</v>
      </c>
      <c r="I29" s="99"/>
      <c r="J29" s="59"/>
      <c r="K29" s="4"/>
      <c r="L29" s="73"/>
    </row>
    <row r="30" spans="1:12" ht="20" customHeight="1" x14ac:dyDescent="0.25">
      <c r="A30" s="4"/>
      <c r="B30" s="136" t="s">
        <v>51</v>
      </c>
      <c r="C30" s="137">
        <v>5</v>
      </c>
      <c r="D30" s="92" t="str">
        <f>IF(VLOOKUP(CONCATENATE(B30,"-",C30),Languages!$A:$D,1,TRUE)=CONCATENATE(B30,"-",C30),VLOOKUP(CONCATENATE(B30,"-",C30),Languages!$A:$D,Kybermittari!$C$7,TRUE),NA())</f>
        <v>Yleisiä hallintatoimia</v>
      </c>
      <c r="E30" s="93" t="str">
        <f ca="1">VLOOKUP(VLOOKUP(CONCATENATE(B30,"-",C30),Data!$K:$O,5,FALSE),Parameters!$C$7:$F$10,Kybermittari!$C$7,FALSE)</f>
        <v>Kypsyystaso 1</v>
      </c>
      <c r="F30" s="138">
        <v>1</v>
      </c>
      <c r="G30" s="92" t="str">
        <f>IF(VLOOKUP(CONCATENATE(I30,"-",F30),Languages!$A:$D,1,TRUE)=CONCATENATE(I30,"-",F30),VLOOKUP(CONCATENATE(I30,"-",F30),Languages!$A:$D,Kybermittari!$C$7,TRUE),NA())</f>
        <v>Kyberturvallisuusarkkitehtuuris ja -kehitysohjelma</v>
      </c>
      <c r="H30" s="93" t="str">
        <f ca="1">VLOOKUP(VLOOKUP(CONCATENATE(I30,"-",F30),Data!$K:$O,5,FALSE),Parameters!$C$7:$F$10,Kybermittari!$C$7,FALSE)</f>
        <v>Kypsyystaso 0</v>
      </c>
      <c r="I30" s="132" t="s">
        <v>83</v>
      </c>
      <c r="J30" s="59"/>
      <c r="K30" s="4"/>
      <c r="L30" s="73"/>
    </row>
    <row r="31" spans="1:12" ht="20" customHeight="1" x14ac:dyDescent="0.25">
      <c r="A31" s="4"/>
      <c r="B31" s="136"/>
      <c r="C31" s="137"/>
      <c r="D31" s="88"/>
      <c r="E31" s="87"/>
      <c r="F31" s="138">
        <v>2</v>
      </c>
      <c r="G31" s="92" t="str">
        <f>IF(VLOOKUP(CONCATENATE(I31,"-",F31),Languages!$A:$D,1,TRUE)=CONCATENATE(I31,"-",F31),VLOOKUP(CONCATENATE(I31,"-",F31),Languages!$A:$D,Kybermittari!$C$7,TRUE),NA())</f>
        <v>Verkkojen segmentointi osana kyberarkkitehtuuria</v>
      </c>
      <c r="H31" s="93" t="str">
        <f ca="1">VLOOKUP(VLOOKUP(CONCATENATE(I31,"-",F31),Data!$K:$O,5,FALSE),Parameters!$C$7:$F$10,Kybermittari!$C$7,FALSE)</f>
        <v>Kypsyystaso 0</v>
      </c>
      <c r="I31" s="132" t="s">
        <v>83</v>
      </c>
      <c r="J31" s="59"/>
      <c r="K31" s="4"/>
      <c r="L31" s="73"/>
    </row>
    <row r="32" spans="1:12" ht="20" customHeight="1" x14ac:dyDescent="0.25">
      <c r="A32" s="4"/>
      <c r="B32" s="136"/>
      <c r="C32" s="129" t="s">
        <v>64</v>
      </c>
      <c r="D32" s="139" t="str">
        <f>IF(VLOOKUP(C32,Languages!$A:$D,1,TRUE)=C32,VLOOKUP(C32,Languages!$A:$D,Kybermittari!$C$7,TRUE),NA())</f>
        <v>Identiteetin- ja pääsynhallinta</v>
      </c>
      <c r="E32" s="140" t="str">
        <f ca="1">VLOOKUP(VLOOKUP(CONCATENATE(C32),Data!$K:$O,5,FALSE),Parameters!$C$7:$F$10,Kybermittari!$C$7,FALSE)</f>
        <v>Kypsyystaso 0</v>
      </c>
      <c r="F32" s="138">
        <v>3</v>
      </c>
      <c r="G32" s="92" t="str">
        <f>IF(VLOOKUP(CONCATENATE(I32,"-",F32),Languages!$A:$D,1,TRUE)=CONCATENATE(I32,"-",F32),VLOOKUP(CONCATENATE(I32,"-",F32),Languages!$A:$D,Kybermittari!$C$7,TRUE),NA())</f>
        <v>Sovellusturvallisuus osana kyberarkkitehtuuria</v>
      </c>
      <c r="H32" s="93" t="str">
        <f ca="1">VLOOKUP(VLOOKUP(CONCATENATE(I32,"-",F32),Data!$K:$O,5,FALSE),Parameters!$C$7:$F$10,Kybermittari!$C$7,FALSE)</f>
        <v>Kypsyystaso 1</v>
      </c>
      <c r="I32" s="132" t="s">
        <v>83</v>
      </c>
      <c r="J32" s="59"/>
      <c r="K32" s="4"/>
      <c r="L32" s="73"/>
    </row>
    <row r="33" spans="1:15" ht="20" customHeight="1" x14ac:dyDescent="0.25">
      <c r="A33" s="4"/>
      <c r="B33" s="136" t="s">
        <v>64</v>
      </c>
      <c r="C33" s="137">
        <v>1</v>
      </c>
      <c r="D33" s="92" t="str">
        <f>IF(VLOOKUP(CONCATENATE(B33,"-",C33),Languages!$A:$D,1,TRUE)=CONCATENATE(B33,"-",C33),VLOOKUP(CONCATENATE(B33,"-",C33),Languages!$A:$D,Kybermittari!$C$7,TRUE),NA())</f>
        <v>Identiteettien hallinta</v>
      </c>
      <c r="E33" s="93" t="str">
        <f ca="1">VLOOKUP(VLOOKUP(CONCATENATE(B33,"-",C33),Data!$K:$O,5,FALSE),Parameters!$C$7:$F$10,Kybermittari!$C$7,FALSE)</f>
        <v>Kypsyystaso 0</v>
      </c>
      <c r="F33" s="119">
        <v>4</v>
      </c>
      <c r="G33" s="92" t="str">
        <f>IF(VLOOKUP(CONCATENATE(I33,"-",F33),Languages!$A:$D,1,TRUE)=CONCATENATE(I33,"-",F33),VLOOKUP(CONCATENATE(I33,"-",F33),Languages!$A:$D,Kybermittari!$C$7,TRUE),NA())</f>
        <v>Tietojensuojelu osana kyberarkkitehtuuria</v>
      </c>
      <c r="H33" s="93" t="str">
        <f ca="1">VLOOKUP(VLOOKUP(CONCATENATE(I33,"-",F33),Data!$K:$O,5,FALSE),Parameters!$C$7:$F$10,Kybermittari!$C$7,FALSE)</f>
        <v>Kypsyystaso 0</v>
      </c>
      <c r="I33" s="132" t="s">
        <v>83</v>
      </c>
      <c r="J33" s="59"/>
      <c r="K33" s="4"/>
      <c r="L33" s="73"/>
    </row>
    <row r="34" spans="1:15" ht="20" customHeight="1" x14ac:dyDescent="0.25">
      <c r="A34" s="4"/>
      <c r="B34" s="136" t="s">
        <v>64</v>
      </c>
      <c r="C34" s="137">
        <v>2</v>
      </c>
      <c r="D34" s="92" t="str">
        <f>IF(VLOOKUP(CONCATENATE(B34,"-",C34),Languages!$A:$D,1,TRUE)=CONCATENATE(B34,"-",C34),VLOOKUP(CONCATENATE(B34,"-",C34),Languages!$A:$D,Kybermittari!$C$7,TRUE),NA())</f>
        <v>Käyttöoikeuksien hallinta</v>
      </c>
      <c r="E34" s="93" t="str">
        <f ca="1">VLOOKUP(VLOOKUP(CONCATENATE(B34,"-",C34),Data!$K:$O,5,FALSE),Parameters!$C$7:$F$10,Kybermittari!$C$7,FALSE)</f>
        <v>Kypsyystaso 0</v>
      </c>
      <c r="F34" s="119">
        <v>5</v>
      </c>
      <c r="G34" s="92" t="str">
        <f>IF(VLOOKUP(CONCATENATE(I34,"-",F34),Languages!$A:$D,1,TRUE)=CONCATENATE(I34,"-",F34),VLOOKUP(CONCATENATE(I34,"-",F34),Languages!$A:$D,Kybermittari!$C$7,TRUE),NA())</f>
        <v>Yleisiä hallintatoimia</v>
      </c>
      <c r="H34" s="93" t="str">
        <f ca="1">VLOOKUP(VLOOKUP(CONCATENATE(I34,"-",F34),Data!$K:$O,5,FALSE),Parameters!$C$7:$F$10,Kybermittari!$C$7,FALSE)</f>
        <v>Kypsyystaso 1</v>
      </c>
      <c r="I34" s="132" t="s">
        <v>83</v>
      </c>
      <c r="J34" s="59"/>
      <c r="K34" s="4"/>
      <c r="L34" s="73"/>
    </row>
    <row r="35" spans="1:15" ht="20" customHeight="1" x14ac:dyDescent="0.25">
      <c r="A35" s="4"/>
      <c r="B35" s="136" t="s">
        <v>64</v>
      </c>
      <c r="C35" s="137">
        <v>3</v>
      </c>
      <c r="D35" s="92" t="str">
        <f>IF(VLOOKUP(CONCATENATE(B35,"-",C35),Languages!$A:$D,1,TRUE)=CONCATENATE(B35,"-",C35),VLOOKUP(CONCATENATE(B35,"-",C35),Languages!$A:$D,Kybermittari!$C$7,TRUE),NA())</f>
        <v>Yleisiä hallintatoimia</v>
      </c>
      <c r="E35" s="93" t="str">
        <f ca="1">VLOOKUP(VLOOKUP(CONCATENATE(B35,"-",C35),Data!$K:$O,5,FALSE),Parameters!$C$7:$F$10,Kybermittari!$C$7,FALSE)</f>
        <v>Kypsyystaso 1</v>
      </c>
      <c r="F35" s="119"/>
      <c r="G35" s="88"/>
      <c r="H35" s="87"/>
      <c r="I35" s="133"/>
      <c r="J35" s="59"/>
      <c r="K35" s="4"/>
      <c r="L35" s="73"/>
    </row>
    <row r="36" spans="1:15" ht="20" customHeight="1" x14ac:dyDescent="0.25">
      <c r="A36" s="4"/>
      <c r="B36" s="136"/>
      <c r="C36" s="137"/>
      <c r="D36" s="88"/>
      <c r="E36" s="87"/>
      <c r="F36" s="129" t="s">
        <v>85</v>
      </c>
      <c r="G36" s="139" t="str">
        <f>IF(VLOOKUP(F36,Languages!$A:$D,1,TRUE)=F36,VLOOKUP(F36,Languages!$A:$D,Kybermittari!$C$7,TRUE),NA())</f>
        <v>Kyberturvallisuusohjelma</v>
      </c>
      <c r="H36" s="140" t="str">
        <f ca="1">VLOOKUP(VLOOKUP(CONCATENATE(F36),Data!$K:$O,5,FALSE),Parameters!$C$7:$F$10,Kybermittari!$C$7,FALSE)</f>
        <v>Kypsyystaso 0</v>
      </c>
      <c r="I36" s="99"/>
      <c r="J36" s="59"/>
      <c r="K36" s="4"/>
      <c r="L36" s="73"/>
    </row>
    <row r="37" spans="1:15" ht="20" customHeight="1" x14ac:dyDescent="0.25">
      <c r="A37" s="4"/>
      <c r="B37" s="136"/>
      <c r="C37" s="129" t="s">
        <v>69</v>
      </c>
      <c r="D37" s="139" t="str">
        <f>IF(VLOOKUP(C37,Languages!$A:$D,1,TRUE)=C37,VLOOKUP(C37,Languages!$A:$D,Kybermittari!$C$7,TRUE),NA())</f>
        <v>Uhkien ja haavoittuvuuksien hallinta</v>
      </c>
      <c r="E37" s="140" t="str">
        <f ca="1">VLOOKUP(VLOOKUP(CONCATENATE(C37),Data!$K:$O,5,FALSE),Parameters!$C$7:$F$10,Kybermittari!$C$7,FALSE)</f>
        <v>Kypsyystaso 0</v>
      </c>
      <c r="F37" s="138">
        <v>1</v>
      </c>
      <c r="G37" s="92" t="str">
        <f>IF(VLOOKUP(CONCATENATE(I37,"-",F37),Languages!$A:$D,1,TRUE)=CONCATENATE(I37,"-",F37),VLOOKUP(CONCATENATE(I37,"-",F37),Languages!$A:$D,Kybermittari!$C$7,TRUE),NA())</f>
        <v>Kyberturvallisuusstrategia</v>
      </c>
      <c r="H37" s="93" t="str">
        <f ca="1">VLOOKUP(VLOOKUP(CONCATENATE(I37,"-",F37),Data!$K:$O,5,FALSE),Parameters!$C$7:$F$10,Kybermittari!$C$7,FALSE)</f>
        <v>Kypsyystaso 0</v>
      </c>
      <c r="I37" s="132" t="s">
        <v>85</v>
      </c>
      <c r="J37" s="59"/>
      <c r="K37" s="4"/>
      <c r="L37" s="73"/>
    </row>
    <row r="38" spans="1:15" ht="20" customHeight="1" x14ac:dyDescent="0.25">
      <c r="A38" s="4"/>
      <c r="B38" s="136" t="s">
        <v>69</v>
      </c>
      <c r="C38" s="137">
        <v>1</v>
      </c>
      <c r="D38" s="92" t="str">
        <f>IF(VLOOKUP(CONCATENATE(B38,"-",C38),Languages!$A:$D,1,TRUE)=CONCATENATE(B38,"-",C38),VLOOKUP(CONCATENATE(B38,"-",C38),Languages!$A:$D,Kybermittari!$C$7,TRUE),NA())</f>
        <v>Uhkien tunnistaminen ja hallinta</v>
      </c>
      <c r="E38" s="93" t="str">
        <f ca="1">VLOOKUP(VLOOKUP(CONCATENATE(B38,"-",C38),Data!$K:$O,5,FALSE),Parameters!$C$7:$F$10,Kybermittari!$C$7,FALSE)</f>
        <v>Kypsyystaso 0</v>
      </c>
      <c r="F38" s="138">
        <v>2</v>
      </c>
      <c r="G38" s="92" t="str">
        <f>IF(VLOOKUP(CONCATENATE(I38,"-",F38),Languages!$A:$D,1,TRUE)=CONCATENATE(I38,"-",F38),VLOOKUP(CONCATENATE(I38,"-",F38),Languages!$A:$D,Kybermittari!$C$7,TRUE),NA())</f>
        <v>Johdon tuki kyberturvallisuusohjelmalle</v>
      </c>
      <c r="H38" s="93" t="str">
        <f ca="1">VLOOKUP(VLOOKUP(CONCATENATE(I38,"-",F38),Data!$K:$O,5,FALSE),Parameters!$C$7:$F$10,Kybermittari!$C$7,FALSE)</f>
        <v>Kypsyystaso 0</v>
      </c>
      <c r="I38" s="132" t="s">
        <v>85</v>
      </c>
      <c r="J38" s="59"/>
      <c r="K38" s="4"/>
      <c r="L38" s="73"/>
    </row>
    <row r="39" spans="1:15" ht="20" customHeight="1" x14ac:dyDescent="0.25">
      <c r="A39" s="4"/>
      <c r="B39" s="136" t="s">
        <v>69</v>
      </c>
      <c r="C39" s="137">
        <v>2</v>
      </c>
      <c r="D39" s="92" t="str">
        <f>IF(VLOOKUP(CONCATENATE(B39,"-",C39),Languages!$A:$D,1,TRUE)=CONCATENATE(B39,"-",C39),VLOOKUP(CONCATENATE(B39,"-",C39),Languages!$A:$D,Kybermittari!$C$7,TRUE),NA())</f>
        <v>Haavoittuvuuksien rajoittaminen</v>
      </c>
      <c r="E39" s="93" t="str">
        <f ca="1">VLOOKUP(VLOOKUP(CONCATENATE(B39,"-",C39),Data!$K:$O,5,FALSE),Parameters!$C$7:$F$10,Kybermittari!$C$7,FALSE)</f>
        <v>Kypsyystaso 0</v>
      </c>
      <c r="F39" s="138">
        <v>3</v>
      </c>
      <c r="G39" s="92" t="str">
        <f>IF(VLOOKUP(CONCATENATE(I39,"-",F39),Languages!$A:$D,1,TRUE)=CONCATENATE(I39,"-",F39),VLOOKUP(CONCATENATE(I39,"-",F39),Languages!$A:$D,Kybermittari!$C$7,TRUE),NA())</f>
        <v>Kyberturvallisuus osana jatkuvuussuunnittelua</v>
      </c>
      <c r="H39" s="93" t="str">
        <f ca="1">VLOOKUP(VLOOKUP(CONCATENATE(I39,"-",F39),Data!$K:$O,5,FALSE),Parameters!$C$7:$F$10,Kybermittari!$C$7,FALSE)</f>
        <v>Kypsyystaso 0</v>
      </c>
      <c r="I39" s="132" t="s">
        <v>85</v>
      </c>
      <c r="J39" s="59"/>
      <c r="K39" s="4"/>
      <c r="L39" s="73"/>
    </row>
    <row r="40" spans="1:15" ht="20" customHeight="1" x14ac:dyDescent="0.25">
      <c r="A40" s="4"/>
      <c r="B40" s="136" t="s">
        <v>69</v>
      </c>
      <c r="C40" s="137">
        <v>3</v>
      </c>
      <c r="D40" s="92" t="str">
        <f>IF(VLOOKUP(CONCATENATE(B40,"-",C40),Languages!$A:$D,1,TRUE)=CONCATENATE(B40,"-",C40),VLOOKUP(CONCATENATE(B40,"-",C40),Languages!$A:$D,Kybermittari!$C$7,TRUE),NA())</f>
        <v>Yleisiä hallintatoimia</v>
      </c>
      <c r="E40" s="93" t="str">
        <f ca="1">VLOOKUP(VLOOKUP(CONCATENATE(B40,"-",C40),Data!$K:$O,5,FALSE),Parameters!$C$7:$F$10,Kybermittari!$C$7,FALSE)</f>
        <v>Kypsyystaso 1</v>
      </c>
      <c r="F40" s="119">
        <v>4</v>
      </c>
      <c r="G40" s="92" t="str">
        <f>IF(VLOOKUP(CONCATENATE(I40,"-",F40),Languages!$A:$D,1,TRUE)=CONCATENATE(I40,"-",F40),VLOOKUP(CONCATENATE(I40,"-",F40),Languages!$A:$D,Kybermittari!$C$7,TRUE),NA())</f>
        <v>Yleisiä hallintatoimia</v>
      </c>
      <c r="H40" s="93" t="str">
        <f ca="1">VLOOKUP(VLOOKUP(CONCATENATE(I40,"-",F40),Data!$K:$O,5,FALSE),Parameters!$C$7:$F$10,Kybermittari!$C$7,FALSE)</f>
        <v>Kypsyystaso 1</v>
      </c>
      <c r="I40" s="132" t="s">
        <v>85</v>
      </c>
      <c r="J40" s="59"/>
      <c r="K40" s="4"/>
      <c r="L40" s="73"/>
    </row>
    <row r="41" spans="1:15" ht="10" customHeight="1" x14ac:dyDescent="0.25">
      <c r="A41" s="4"/>
      <c r="B41" s="130"/>
      <c r="C41" s="131"/>
      <c r="D41" s="57"/>
      <c r="E41" s="81"/>
      <c r="F41" s="58"/>
      <c r="G41" s="58"/>
      <c r="H41" s="58"/>
      <c r="I41" s="134"/>
      <c r="J41" s="59"/>
      <c r="K41" s="4"/>
      <c r="L41" s="73"/>
    </row>
    <row r="42" spans="1:15" s="27" customFormat="1" ht="30" customHeight="1" x14ac:dyDescent="0.25">
      <c r="A42" s="55"/>
      <c r="B42" s="60"/>
      <c r="C42" s="67"/>
      <c r="E42" s="63"/>
      <c r="F42" s="63"/>
      <c r="G42" s="63"/>
      <c r="H42" s="63"/>
      <c r="I42" s="63"/>
      <c r="J42" s="61"/>
      <c r="K42" s="55"/>
      <c r="L42" s="75"/>
      <c r="M42" s="124"/>
      <c r="N42" s="124"/>
      <c r="O42" s="124"/>
    </row>
    <row r="43" spans="1:15" s="22" customFormat="1" ht="15" customHeight="1" x14ac:dyDescent="0.25">
      <c r="A43" s="21"/>
      <c r="B43" s="23"/>
      <c r="C43" s="31"/>
      <c r="D43" s="31"/>
      <c r="E43" s="80"/>
      <c r="F43" s="33"/>
      <c r="G43" s="33"/>
      <c r="H43" s="33"/>
      <c r="I43" s="33"/>
      <c r="J43" s="24"/>
      <c r="K43" s="21"/>
      <c r="L43" s="72"/>
      <c r="M43" s="125"/>
      <c r="N43" s="125"/>
      <c r="O43" s="125"/>
    </row>
    <row r="44" spans="1:15" s="22" customFormat="1" ht="18" customHeight="1" x14ac:dyDescent="0.25">
      <c r="A44" s="21"/>
      <c r="B44" s="21"/>
      <c r="C44" s="21"/>
      <c r="D44" s="25"/>
      <c r="E44" s="25"/>
      <c r="F44" s="21"/>
      <c r="G44" s="21"/>
      <c r="H44" s="21"/>
      <c r="I44" s="21"/>
      <c r="J44" s="21"/>
      <c r="K44" s="21"/>
      <c r="L44" s="72"/>
      <c r="M44" s="125"/>
      <c r="N44" s="125"/>
      <c r="O44" s="125"/>
    </row>
    <row r="45" spans="1:15" ht="29.5" customHeight="1" x14ac:dyDescent="0.25">
      <c r="A45" s="4"/>
      <c r="B45" s="108"/>
      <c r="C45" s="109"/>
      <c r="D45" s="790" t="str">
        <f>IF(VLOOKUP("KM74",Languages!$A:$D,1,TRUE)="KM74",VLOOKUP("KM74",Languages!$A:$D,Kybermittari!$C$7,TRUE),NA())</f>
        <v>Kypsyystasolle 1 vaadittavia toimenpiteitä</v>
      </c>
      <c r="E45" s="790"/>
      <c r="F45" s="790"/>
      <c r="G45" s="790"/>
      <c r="H45" s="790"/>
      <c r="I45" s="110"/>
      <c r="J45" s="111"/>
      <c r="K45" s="4"/>
      <c r="L45" s="73"/>
    </row>
    <row r="46" spans="1:15" s="27" customFormat="1" ht="10" customHeight="1" x14ac:dyDescent="0.25">
      <c r="A46" s="55"/>
      <c r="B46" s="56"/>
      <c r="C46" s="66"/>
      <c r="E46" s="63"/>
      <c r="F46" s="63"/>
      <c r="G46" s="63"/>
      <c r="H46" s="63"/>
      <c r="I46" s="63"/>
      <c r="J46" s="61"/>
      <c r="K46" s="55"/>
      <c r="L46" s="75"/>
      <c r="M46" s="124"/>
      <c r="N46" s="124"/>
      <c r="O46" s="124"/>
    </row>
    <row r="47" spans="1:15" s="27" customFormat="1" ht="40" customHeight="1" x14ac:dyDescent="0.25">
      <c r="A47" s="55"/>
      <c r="B47" s="90">
        <v>1</v>
      </c>
      <c r="C47" s="91" t="str">
        <f ca="1">_xlfn.IFNA(VLOOKUP("0-1-0-"&amp;B47,Data!$W:$X,2,FALSE),"")</f>
        <v>ACCESS-1a</v>
      </c>
      <c r="D47" s="791" t="str">
        <f ca="1">IFERROR("("&amp;VLOOKUP("0-1-0-"&amp;B47,Data!$W:$X,2,FALSE)&amp;") "&amp;IF(VLOOKUP(C47,Languages!$A:$D,1,TRUE)=C47,VLOOKUP(C47,Languages!$A:$D,Kybermittari!$C$7,TRUE),NA()),"")</f>
        <v>(ACCESS-1a) Niille henkilöille ja muille toimijoille (kuten laitteille, järjestelmille tai prosesseille), jotka tarvitsevat pääsyn suojattaviin kohteisiin luodaan identiteetit - ainakin tapauskohtaisesti. (Huom. tämä vaatimus ei estä jaettujen identiteettien käyttöä).</v>
      </c>
      <c r="E47" s="791"/>
      <c r="F47" s="91" t="str">
        <f ca="1">_xlfn.IFNA(VLOOKUP("0-1-0-"&amp;I47,Data!$W:$X,2,FALSE),"")</f>
        <v>ACCESS-1b</v>
      </c>
      <c r="G47" s="791" t="str">
        <f ca="1">IFERROR("("&amp;VLOOKUP("0-1-0-"&amp;I47,Data!$W:$X,2,FALSE)&amp;") "&amp;IF(VLOOKUP(F47,Languages!$A:$D,1,TRUE)=F47,VLOOKUP(F47,Languages!$A:$D,Kybermittari!$C$7,TRUE),NA()),"")</f>
        <v>(ACCESS-1b) Niille henkilöille ja toimijoille, jotka tarvitsevat pääsyn suojattaviin kohteisiin jaetaan pääsyvaltuustiedot (kuten salasanat, sertifikaatit, älykorit, avaimet, tunnusluvut tai vastaavat) - ainakin tapauskohtaisesti.</v>
      </c>
      <c r="H47" s="791"/>
      <c r="I47" s="89">
        <v>2</v>
      </c>
      <c r="J47" s="61"/>
      <c r="K47" s="55"/>
      <c r="L47" s="75"/>
      <c r="M47" s="124"/>
      <c r="N47" s="124"/>
      <c r="O47" s="124"/>
    </row>
    <row r="48" spans="1:15" s="27" customFormat="1" ht="40" customHeight="1" x14ac:dyDescent="0.25">
      <c r="A48" s="55"/>
      <c r="B48" s="90">
        <v>3</v>
      </c>
      <c r="C48" s="91" t="str">
        <f ca="1">_xlfn.IFNA(VLOOKUP("0-1-0-"&amp;B48,Data!$W:$X,2,FALSE),"")</f>
        <v>ACCESS-1c</v>
      </c>
      <c r="D48" s="791" t="str">
        <f ca="1">IFERROR("("&amp;VLOOKUP("0-1-0-"&amp;B48,Data!$W:$X,2,FALSE)&amp;") "&amp;IF(VLOOKUP(C48,Languages!$A:$D,1,TRUE)=C48,VLOOKUP(C48,Languages!$A:$D,Kybermittari!$C$7,TRUE),NA()),"")</f>
        <v>(ACCESS-1c) Kun identiteettejä ei enää tarvita, ne poistetaan käytöstä ("deprovision") - ainakin tapauskohtaisesti.</v>
      </c>
      <c r="E48" s="791"/>
      <c r="F48" s="91" t="str">
        <f ca="1">_xlfn.IFNA(VLOOKUP("0-1-0-"&amp;I48,Data!$W:$X,2,FALSE),"")</f>
        <v>ACCESS-2a</v>
      </c>
      <c r="G48" s="791" t="str">
        <f ca="1">IFERROR("("&amp;VLOOKUP("0-1-0-"&amp;I48,Data!$W:$X,2,FALSE)&amp;") "&amp;IF(VLOOKUP(F48,Languages!$A:$D,1,TRUE)=F48,VLOOKUP(F48,Languages!$A:$D,Kybermittari!$C$7,TRUE),NA()),"")</f>
        <v>(ACCESS-2a) Organisaatio on asettanut käyttöoikeuksille vaatimuksia tai rajoituksia - ainakin tapauskohtaisesti (esim. siitä minkä tyyppiset toimijat voivat saada pääsyn suojattavaan kohteeseen, missä rajoissa pääsy sallitaan, rajoitetaanko etäyhteyksiä tai onko tunnistetiedoille kuten salasanoille asetettu tiettyjä vaatimuksia).</v>
      </c>
      <c r="H48" s="791"/>
      <c r="I48" s="89">
        <v>4</v>
      </c>
      <c r="J48" s="61"/>
      <c r="K48" s="55"/>
      <c r="L48" s="75"/>
      <c r="M48" s="124"/>
      <c r="N48" s="124"/>
      <c r="O48" s="124"/>
    </row>
    <row r="49" spans="1:15" s="27" customFormat="1" ht="40" customHeight="1" x14ac:dyDescent="0.25">
      <c r="A49" s="55"/>
      <c r="B49" s="90">
        <v>5</v>
      </c>
      <c r="C49" s="91" t="str">
        <f ca="1">_xlfn.IFNA(VLOOKUP("0-1-0-"&amp;B49,Data!$W:$X,2,FALSE),"")</f>
        <v>ACCESS-2b</v>
      </c>
      <c r="D49" s="791" t="str">
        <f ca="1">IFERROR("("&amp;VLOOKUP("0-1-0-"&amp;B49,Data!$W:$X,2,FALSE)&amp;") "&amp;IF(VLOOKUP(C49,Languages!$A:$D,1,TRUE)=C49,VLOOKUP(C49,Languages!$A:$D,Kybermittari!$C$7,TRUE),NA()),"")</f>
        <v>(ACCESS-2b) Asetettuja vaatimuksia noudatetaan, kun päätetään käyttöoikeuksien myöntämisestä eri identiteeteille - ainakin tapauskohtaisesti.</v>
      </c>
      <c r="E49" s="791"/>
      <c r="F49" s="91" t="str">
        <f ca="1">_xlfn.IFNA(VLOOKUP("0-1-0-"&amp;I49,Data!$W:$X,2,FALSE),"")</f>
        <v>ACCESS-2c</v>
      </c>
      <c r="G49" s="791" t="str">
        <f ca="1">IFERROR("("&amp;VLOOKUP("0-1-0-"&amp;I49,Data!$W:$X,2,FALSE)&amp;") "&amp;IF(VLOOKUP(F49,Languages!$A:$D,1,TRUE)=F49,VLOOKUP(F49,Languages!$A:$D,Kybermittari!$C$7,TRUE),NA()),"")</f>
        <v>(ACCESS-2c) Kun käyttöoikeuksia ei enää tarvita, ne poistetaan käytöstä ("revoke") - ainakin tapauskohtaisesti.</v>
      </c>
      <c r="H49" s="791"/>
      <c r="I49" s="89">
        <v>6</v>
      </c>
      <c r="J49" s="61"/>
      <c r="K49" s="55"/>
      <c r="L49" s="75"/>
      <c r="M49" s="124"/>
      <c r="N49" s="124"/>
      <c r="O49" s="124"/>
    </row>
    <row r="50" spans="1:15" s="27" customFormat="1" ht="40" customHeight="1" x14ac:dyDescent="0.25">
      <c r="A50" s="55"/>
      <c r="B50" s="90">
        <v>7</v>
      </c>
      <c r="C50" s="91" t="str">
        <f ca="1">_xlfn.IFNA(VLOOKUP("0-1-0-"&amp;B50,Data!$W:$X,2,FALSE),"")</f>
        <v>ARCHITECTURE-1a</v>
      </c>
      <c r="D50" s="791" t="str">
        <f ca="1">IFERROR("("&amp;VLOOKUP("0-1-0-"&amp;B50,Data!$W:$X,2,FALSE)&amp;") "&amp;IF(VLOOKUP(C50,Languages!$A:$D,1,TRUE)=C50,VLOOKUP(C50,Languages!$A:$D,Kybermittari!$C$7,TRUE),NA()),"")</f>
        <v>(ARCHITECTURE-1a) Organisaatiolla on strategia kyberarkkitehtuurille (joka sisältää kyberarkkitehtuurin tavoitteet, prioriteetit, vastuut, ja seurannan) - vaikka sitä ei välttämättä kehitetä systemaattisesti.</v>
      </c>
      <c r="E50" s="791"/>
      <c r="F50" s="91" t="str">
        <f ca="1">_xlfn.IFNA(VLOOKUP("0-1-0-"&amp;I50,Data!$W:$X,2,FALSE),"")</f>
        <v>ARCHITECTURE-2a</v>
      </c>
      <c r="G50" s="791" t="str">
        <f ca="1">IFERROR("("&amp;VLOOKUP("0-1-0-"&amp;I50,Data!$W:$X,2,FALSE)&amp;") "&amp;IF(VLOOKUP(F50,Languages!$A:$D,1,TRUE)=F50,VLOOKUP(F50,Languages!$A:$D,Kybermittari!$C$7,TRUE),NA()),"")</f>
        <v>(ARCHITECTURE-2a) Organisaation IT-järjestelmät on eriytetty (mahdollisista) OT-järjestelmistä segmentoinnin avulla, joko fyysisesti (esim. ilmarako) tai loogisesti (esim. verkkokonfiguraatiot) - vaikka ei välttämättä systemaattisesti ja kaiken kattavasti. [Mikäli organisaatiolla ei ole OT-järjestelmiä (tai niihin verrattavissa olevia järjestelmiä), asetetaan tämä käytäntö täysin toteutetuksi.]</v>
      </c>
      <c r="H50" s="791"/>
      <c r="I50" s="89">
        <v>8</v>
      </c>
      <c r="J50" s="61"/>
      <c r="K50" s="55"/>
      <c r="L50" s="75"/>
      <c r="M50" s="124"/>
      <c r="N50" s="124"/>
      <c r="O50" s="124"/>
    </row>
    <row r="51" spans="1:15" s="27" customFormat="1" ht="40" customHeight="1" x14ac:dyDescent="0.25">
      <c r="A51" s="55"/>
      <c r="B51" s="90">
        <v>9</v>
      </c>
      <c r="C51" s="91" t="str">
        <f ca="1">_xlfn.IFNA(VLOOKUP("0-1-0-"&amp;B51,Data!$W:$X,2,FALSE),"")</f>
        <v>ARCHITECTURE-4a</v>
      </c>
      <c r="D51" s="791" t="str">
        <f ca="1">IFERROR("("&amp;VLOOKUP("0-1-0-"&amp;B51,Data!$W:$X,2,FALSE)&amp;") "&amp;IF(VLOOKUP(C51,Languages!$A:$D,1,TRUE)=C51,VLOOKUP(C51,Languages!$A:$D,Kybermittari!$C$7,TRUE),NA()),"")</f>
        <v>(ARCHITECTURE-4a) Arkaluontoisia tietoja suojataan, kun se on talletettuna ("at rest") - ainakin tapauskohtaisesti. (Arkaluontoisia tietoja voivat olla esim. henkilö-, maksukortti- ja potilastiedot, immateriaalioikeudet tai operatiiviset tiedot). (Suojaustapoina voidaan käyttää esim. salausta, maskausta, salasanasuojausta tai pääsynhallintaa).</v>
      </c>
      <c r="E51" s="791"/>
      <c r="F51" s="91" t="str">
        <f ca="1">_xlfn.IFNA(VLOOKUP("0-1-0-"&amp;I51,Data!$W:$X,2,FALSE),"")</f>
        <v>ARCHITECTURE-4b</v>
      </c>
      <c r="G51" s="791" t="str">
        <f ca="1">IFERROR("("&amp;VLOOKUP("0-1-0-"&amp;I51,Data!$W:$X,2,FALSE)&amp;") "&amp;IF(VLOOKUP(F51,Languages!$A:$D,1,TRUE)=F51,VLOOKUP(F51,Languages!$A:$D,Kybermittari!$C$7,TRUE),NA()),"")</f>
        <v>(ARCHITECTURE-4b) Arkaluontoisia tietoja suojataan siirron yhteydessä ("at transit") - ainakin tapauskohtaisesti [kts. ASSET-2c]. (Suojaustapoja voidaan käyttää esim. salausta, maskausta tai siirtoa suojatuissa kanavissa).</v>
      </c>
      <c r="H51" s="791"/>
      <c r="I51" s="89">
        <v>10</v>
      </c>
      <c r="J51" s="61"/>
      <c r="K51" s="55"/>
      <c r="L51" s="75"/>
      <c r="M51" s="124"/>
      <c r="N51" s="124"/>
      <c r="O51" s="124"/>
    </row>
    <row r="52" spans="1:15" s="27" customFormat="1" ht="40" customHeight="1" x14ac:dyDescent="0.25">
      <c r="A52" s="55"/>
      <c r="B52" s="90">
        <v>11</v>
      </c>
      <c r="C52" s="91" t="str">
        <f ca="1">_xlfn.IFNA(VLOOKUP("0-1-0-"&amp;B52,Data!$W:$X,2,FALSE),"")</f>
        <v>ASSET-1a</v>
      </c>
      <c r="D52" s="791" t="str">
        <f ca="1">IFERROR("("&amp;VLOOKUP("0-1-0-"&amp;B52,Data!$W:$X,2,FALSE)&amp;") "&amp;IF(VLOOKUP(C52,Languages!$A:$D,1,TRUE)=C52,VLOOKUP(C52,Languages!$A:$D,Kybermittari!$C$7,TRUE),NA()),"")</f>
        <v>(ASSET-1a) Organisaatiolla on rekisteri toiminnan osa-alueen toimintavarmuuden kannalta tärkeästä IT- ja OT-omaisuudesta - vaikka rekisterin ylläpito ei välttämättä ole systemaattista tai kaikenkattavaa.</v>
      </c>
      <c r="E52" s="791"/>
      <c r="F52" s="91" t="str">
        <f ca="1">_xlfn.IFNA(VLOOKUP("0-1-0-"&amp;I52,Data!$W:$X,2,FALSE),"")</f>
        <v>ASSET-2a</v>
      </c>
      <c r="G52" s="791" t="str">
        <f ca="1">IFERROR("("&amp;VLOOKUP("0-1-0-"&amp;I52,Data!$W:$X,2,FALSE)&amp;") "&amp;IF(VLOOKUP(F52,Languages!$A:$D,1,TRUE)=F52,VLOOKUP(F52,Languages!$A:$D,Kybermittari!$C$7,TRUE),NA()),"")</f>
        <v>(ASSET-2a) Organisaatiolla on rekisteri (toiminnan osa-alueen toimintavarmuuden kannalta) tärkeistä tietovarannoista - vaikka rekisterin ylläpito ei välttämättä ole systemaattista tai kaikenkattavaa. (Tärkeät tietovarannot voivat sisältää esimerkiksi asiakastietoja, taloudellisia tietoja, tuotannonohjausjärjestelmän tietoja, laitteiden konfiguraatiotietoja tai lokitietoja).</v>
      </c>
      <c r="H52" s="791"/>
      <c r="I52" s="89">
        <v>12</v>
      </c>
      <c r="J52" s="61"/>
      <c r="K52" s="55"/>
      <c r="L52" s="75"/>
      <c r="M52" s="124"/>
      <c r="N52" s="124"/>
      <c r="O52" s="124"/>
    </row>
    <row r="53" spans="1:15" s="27" customFormat="1" ht="40" customHeight="1" x14ac:dyDescent="0.25">
      <c r="A53" s="55"/>
      <c r="B53" s="90">
        <v>13</v>
      </c>
      <c r="C53" s="91" t="str">
        <f ca="1">_xlfn.IFNA(VLOOKUP("0-1-0-"&amp;B53,Data!$W:$X,2,FALSE),"")</f>
        <v>ASSET-3a</v>
      </c>
      <c r="D53" s="791" t="str">
        <f ca="1">IFERROR("("&amp;VLOOKUP("0-1-0-"&amp;B53,Data!$W:$X,2,FALSE)&amp;") "&amp;IF(VLOOKUP(C53,Languages!$A:$D,1,TRUE)=C53,VLOOKUP(C53,Languages!$A:$D,Kybermittari!$C$7,TRUE),NA()),"")</f>
        <v>(ASSET-3a) Rekisteröityjen suojattavien kohteiden konfiguraatiolle määritetään vakioidut perusasetukset, silloin kun on tarpeellista varmistaa, että samankaltaiset kohteet on konfiguroitu samalla tavalla - vaikka ei välttämättä systemaattisesti ja kaiken kattavasti.</v>
      </c>
      <c r="E53" s="791"/>
      <c r="F53" s="91" t="str">
        <f ca="1">_xlfn.IFNA(VLOOKUP("0-1-0-"&amp;I53,Data!$W:$X,2,FALSE),"")</f>
        <v>ASSET-3b</v>
      </c>
      <c r="G53" s="791" t="str">
        <f ca="1">IFERROR("("&amp;VLOOKUP("0-1-0-"&amp;I53,Data!$W:$X,2,FALSE)&amp;") "&amp;IF(VLOOKUP(F53,Languages!$A:$D,1,TRUE)=F53,VLOOKUP(F53,Languages!$A:$D,Kybermittari!$C$7,TRUE),NA()),"")</f>
        <v>(ASSET-3b) Vakioituja perusasetuksia käytetään suojattavien kohteiden käyttöönotossa ja käyttöön palautuksessa - ainakin tapauskohtaisesti.</v>
      </c>
      <c r="H53" s="791"/>
      <c r="I53" s="89">
        <v>14</v>
      </c>
      <c r="J53" s="61"/>
      <c r="K53" s="55"/>
      <c r="L53" s="75"/>
      <c r="M53" s="124"/>
      <c r="N53" s="124"/>
      <c r="O53" s="124"/>
    </row>
    <row r="54" spans="1:15" s="22" customFormat="1" ht="15" customHeight="1" x14ac:dyDescent="0.25">
      <c r="A54" s="21"/>
      <c r="B54" s="23"/>
      <c r="C54" s="31"/>
      <c r="D54" s="31"/>
      <c r="E54" s="80"/>
      <c r="F54" s="33"/>
      <c r="G54" s="33"/>
      <c r="H54" s="33"/>
      <c r="I54" s="33"/>
      <c r="J54" s="24"/>
      <c r="K54" s="21"/>
      <c r="L54" s="72"/>
      <c r="M54" s="125"/>
      <c r="N54" s="125"/>
      <c r="O54" s="125"/>
    </row>
    <row r="55" spans="1:15" s="22" customFormat="1" ht="18" customHeight="1" x14ac:dyDescent="0.25">
      <c r="A55" s="21"/>
      <c r="B55" s="21"/>
      <c r="C55" s="21"/>
      <c r="D55" s="25"/>
      <c r="E55" s="25"/>
      <c r="F55" s="21"/>
      <c r="G55" s="21"/>
      <c r="H55" s="21"/>
      <c r="I55" s="21"/>
      <c r="J55" s="21"/>
      <c r="K55" s="21"/>
      <c r="L55" s="72"/>
      <c r="M55" s="125"/>
      <c r="N55" s="125"/>
      <c r="O55" s="125"/>
    </row>
  </sheetData>
  <sheetProtection sheet="1" objects="1" scenarios="1"/>
  <mergeCells count="16">
    <mergeCell ref="D6:G6"/>
    <mergeCell ref="D45:H45"/>
    <mergeCell ref="D47:E47"/>
    <mergeCell ref="D53:E53"/>
    <mergeCell ref="D48:E48"/>
    <mergeCell ref="D49:E49"/>
    <mergeCell ref="D50:E50"/>
    <mergeCell ref="D51:E51"/>
    <mergeCell ref="D52:E52"/>
    <mergeCell ref="G52:H52"/>
    <mergeCell ref="G53:H53"/>
    <mergeCell ref="G47:H47"/>
    <mergeCell ref="G48:H48"/>
    <mergeCell ref="G49:H49"/>
    <mergeCell ref="G50:H50"/>
    <mergeCell ref="G51:H51"/>
  </mergeCells>
  <conditionalFormatting sqref="I10">
    <cfRule type="containsText" dxfId="17" priority="119" operator="containsText" text="1">
      <formula>NOT(ISERROR(SEARCH("1",I10)))</formula>
    </cfRule>
    <cfRule type="containsText" dxfId="16" priority="120" operator="containsText" text="0">
      <formula>NOT(ISERROR(SEARCH("0",I10)))</formula>
    </cfRule>
  </conditionalFormatting>
  <conditionalFormatting sqref="I36">
    <cfRule type="containsText" dxfId="15" priority="111" operator="containsText" text="1">
      <formula>NOT(ISERROR(SEARCH("1",I36)))</formula>
    </cfRule>
    <cfRule type="containsText" dxfId="14" priority="112" operator="containsText" text="0">
      <formula>NOT(ISERROR(SEARCH("0",I36)))</formula>
    </cfRule>
  </conditionalFormatting>
  <conditionalFormatting sqref="I16">
    <cfRule type="containsText" dxfId="13" priority="117" operator="containsText" text="1">
      <formula>NOT(ISERROR(SEARCH("1",I16)))</formula>
    </cfRule>
    <cfRule type="containsText" dxfId="12" priority="118" operator="containsText" text="0">
      <formula>NOT(ISERROR(SEARCH("0",I16)))</formula>
    </cfRule>
  </conditionalFormatting>
  <conditionalFormatting sqref="I22">
    <cfRule type="containsText" dxfId="11" priority="115" operator="containsText" text="1">
      <formula>NOT(ISERROR(SEARCH("1",I22)))</formula>
    </cfRule>
    <cfRule type="containsText" dxfId="10" priority="116" operator="containsText" text="0">
      <formula>NOT(ISERROR(SEARCH("0",I22)))</formula>
    </cfRule>
  </conditionalFormatting>
  <conditionalFormatting sqref="I29">
    <cfRule type="containsText" dxfId="9" priority="113" operator="containsText" text="1">
      <formula>NOT(ISERROR(SEARCH("1",I29)))</formula>
    </cfRule>
    <cfRule type="containsText" dxfId="8" priority="114" operator="containsText" text="0">
      <formula>NOT(ISERROR(SEARCH("0",I29)))</formula>
    </cfRule>
  </conditionalFormatting>
  <conditionalFormatting sqref="E10">
    <cfRule type="containsText" dxfId="7" priority="95" operator="containsText" text="3">
      <formula>NOT(ISERROR(SEARCH("3",E10)))</formula>
    </cfRule>
    <cfRule type="containsText" dxfId="6" priority="96" operator="containsText" text="2">
      <formula>NOT(ISERROR(SEARCH("2",E10)))</formula>
    </cfRule>
    <cfRule type="containsText" dxfId="5" priority="97" operator="containsText" text="1">
      <formula>NOT(ISERROR(SEARCH("1",E10)))</formula>
    </cfRule>
    <cfRule type="containsText" dxfId="4" priority="98" operator="containsText" text="0">
      <formula>NOT(ISERROR(SEARCH("0",E10)))</formula>
    </cfRule>
  </conditionalFormatting>
  <conditionalFormatting sqref="H36 H29 H22 H16 H10 E37 E32 E25 E20 E15">
    <cfRule type="containsText" dxfId="3" priority="1" operator="containsText" text="3">
      <formula>NOT(ISERROR(SEARCH("3",E10)))</formula>
    </cfRule>
    <cfRule type="containsText" dxfId="2" priority="2" operator="containsText" text="2">
      <formula>NOT(ISERROR(SEARCH("2",E10)))</formula>
    </cfRule>
    <cfRule type="containsText" dxfId="1" priority="3" operator="containsText" text="1">
      <formula>NOT(ISERROR(SEARCH("1",E10)))</formula>
    </cfRule>
    <cfRule type="containsText" dxfId="0" priority="4" operator="containsText" text="0">
      <formula>NOT(ISERROR(SEARCH("0",E10)))</formula>
    </cfRule>
  </conditionalFormatting>
  <pageMargins left="0.70866141732283472" right="0.70866141732283472" top="0.74803149606299213" bottom="0.74803149606299213" header="0.31496062992125984" footer="0.31496062992125984"/>
  <pageSetup paperSize="9" scale="50" orientation="portrait" r:id="rId1"/>
  <rowBreaks count="1" manualBreakCount="1">
    <brk id="44"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8B1"/>
  </sheetPr>
  <dimension ref="A1:S118"/>
  <sheetViews>
    <sheetView zoomScaleNormal="100" workbookViewId="0">
      <selection activeCell="D2" sqref="D2"/>
    </sheetView>
  </sheetViews>
  <sheetFormatPr defaultRowHeight="23" x14ac:dyDescent="0.45"/>
  <cols>
    <col min="1" max="2" width="1.640625" customWidth="1"/>
    <col min="3" max="3" width="2.640625" customWidth="1"/>
    <col min="4" max="4" width="12.640625" style="44" customWidth="1"/>
    <col min="5" max="5" width="5.640625" style="44" customWidth="1"/>
    <col min="6" max="6" width="18.640625" style="44" customWidth="1"/>
    <col min="7" max="7" width="35.640625" style="44" customWidth="1"/>
    <col min="8" max="8" width="7.640625" style="44" customWidth="1"/>
    <col min="9" max="9" width="55.640625" style="44" customWidth="1"/>
    <col min="10" max="10" width="12.640625" style="45" customWidth="1"/>
    <col min="11" max="11" width="8.640625" style="45" customWidth="1"/>
    <col min="12" max="12" width="8.640625" style="44" customWidth="1"/>
    <col min="13" max="13" width="3.640625" style="44" customWidth="1"/>
    <col min="14" max="14" width="8.640625" style="44" customWidth="1"/>
    <col min="15" max="15" width="3.640625" style="44" customWidth="1"/>
    <col min="16" max="16" width="8.640625" style="44" customWidth="1"/>
    <col min="17" max="17" width="3.640625" style="44" customWidth="1"/>
    <col min="18" max="19" width="1.640625" customWidth="1"/>
  </cols>
  <sheetData>
    <row r="1" spans="1:19" ht="13.5" customHeight="1" x14ac:dyDescent="0.25">
      <c r="A1" s="4"/>
      <c r="B1" s="4"/>
      <c r="C1" s="4"/>
      <c r="D1" s="4"/>
      <c r="E1" s="4"/>
      <c r="F1" s="4"/>
      <c r="G1" s="4"/>
      <c r="H1" s="4"/>
      <c r="I1" s="4"/>
      <c r="J1" s="4"/>
      <c r="K1" s="4"/>
      <c r="L1" s="4"/>
      <c r="M1" s="4"/>
      <c r="N1" s="4"/>
      <c r="O1" s="4"/>
      <c r="P1" s="4"/>
      <c r="Q1" s="4"/>
      <c r="R1" s="4"/>
      <c r="S1" s="4"/>
    </row>
    <row r="2" spans="1:19" ht="18" customHeight="1" x14ac:dyDescent="0.25">
      <c r="A2" s="8"/>
      <c r="B2" s="152"/>
      <c r="C2" s="153"/>
      <c r="D2" s="153"/>
      <c r="E2" s="153"/>
      <c r="F2" s="153"/>
      <c r="G2" s="153"/>
      <c r="H2" s="153"/>
      <c r="I2" s="153"/>
      <c r="J2" s="153"/>
      <c r="K2" s="153"/>
      <c r="L2" s="153"/>
      <c r="M2" s="153"/>
      <c r="N2" s="153"/>
      <c r="O2" s="153"/>
      <c r="P2" s="153"/>
      <c r="Q2" s="153"/>
      <c r="R2" s="154"/>
      <c r="S2" s="8"/>
    </row>
    <row r="3" spans="1:19" ht="18" customHeight="1" x14ac:dyDescent="0.45">
      <c r="A3" s="4"/>
      <c r="B3" s="155"/>
      <c r="C3" s="156"/>
      <c r="D3" s="157" t="s">
        <v>513</v>
      </c>
      <c r="E3" s="158"/>
      <c r="F3" s="158"/>
      <c r="G3" s="158"/>
      <c r="H3" s="158"/>
      <c r="I3" s="158"/>
      <c r="J3" s="159"/>
      <c r="K3" s="159"/>
      <c r="L3" s="158"/>
      <c r="M3" s="158"/>
      <c r="N3" s="158"/>
      <c r="O3" s="158"/>
      <c r="P3" s="158"/>
      <c r="Q3" s="158"/>
      <c r="R3" s="160"/>
      <c r="S3" s="55"/>
    </row>
    <row r="4" spans="1:19" ht="30" customHeight="1" x14ac:dyDescent="0.45">
      <c r="A4" s="4"/>
      <c r="B4" s="155"/>
      <c r="C4" s="156"/>
      <c r="D4" s="161" t="str">
        <f>IF(VLOOKUP("KM64",Languages!$A:$D,1,TRUE)="KM64",VLOOKUP("KM64",Languages!$A:$D,Kybermittari!$C$7,TRUE),NA())</f>
        <v>Yksityiskohtainen NIST Cybersecurity Framework Core -raportti</v>
      </c>
      <c r="E4" s="158"/>
      <c r="F4" s="158"/>
      <c r="G4" s="158"/>
      <c r="H4" s="158"/>
      <c r="I4" s="158"/>
      <c r="J4" s="159"/>
      <c r="K4" s="159"/>
      <c r="L4" s="158"/>
      <c r="M4" s="158"/>
      <c r="N4" s="158"/>
      <c r="O4" s="158"/>
      <c r="P4" s="158"/>
      <c r="Q4" s="158"/>
      <c r="R4" s="160"/>
      <c r="S4" s="55"/>
    </row>
    <row r="5" spans="1:19" ht="30" customHeight="1" x14ac:dyDescent="0.45">
      <c r="A5" s="4"/>
      <c r="B5" s="155"/>
      <c r="C5" s="156"/>
      <c r="D5" s="162" t="str">
        <f>IF(VLOOKUP("KM65",Languages!$A:$D,1,TRUE)="KM65",VLOOKUP("KM65",Languages!$A:$D,Kybermittari!$C$7,TRUE),NA())</f>
        <v xml:space="preserve"> Perustuen suuntaa-antavaan ristiinkytkentään C2M2 ja NIST-mallien välillä</v>
      </c>
      <c r="E5" s="158"/>
      <c r="F5" s="158"/>
      <c r="G5" s="158"/>
      <c r="H5" s="158"/>
      <c r="I5" s="158"/>
      <c r="J5" s="159"/>
      <c r="K5" s="159"/>
      <c r="L5" s="158"/>
      <c r="M5" s="158"/>
      <c r="N5" s="158"/>
      <c r="O5" s="158"/>
      <c r="P5" s="158"/>
      <c r="Q5" s="158"/>
      <c r="R5" s="160"/>
      <c r="S5" s="55"/>
    </row>
    <row r="6" spans="1:19" ht="15" customHeight="1" thickBot="1" x14ac:dyDescent="0.5">
      <c r="A6" s="4"/>
      <c r="B6" s="155"/>
      <c r="C6" s="156"/>
      <c r="D6" s="162"/>
      <c r="E6" s="158"/>
      <c r="F6" s="158"/>
      <c r="G6" s="158"/>
      <c r="H6" s="158"/>
      <c r="I6" s="158"/>
      <c r="J6" s="159"/>
      <c r="K6" s="159"/>
      <c r="L6" s="158"/>
      <c r="M6" s="158"/>
      <c r="N6" s="158"/>
      <c r="O6" s="158"/>
      <c r="P6" s="158"/>
      <c r="Q6" s="158"/>
      <c r="R6" s="160"/>
      <c r="S6" s="55"/>
    </row>
    <row r="7" spans="1:19" s="151" customFormat="1" ht="22" customHeight="1" thickBot="1" x14ac:dyDescent="0.4">
      <c r="A7" s="150"/>
      <c r="B7" s="166"/>
      <c r="C7" s="167"/>
      <c r="D7" s="795" t="s">
        <v>2495</v>
      </c>
      <c r="E7" s="796"/>
      <c r="F7" s="796"/>
      <c r="G7" s="796"/>
      <c r="H7" s="796"/>
      <c r="I7" s="796"/>
      <c r="J7" s="797" t="s">
        <v>2494</v>
      </c>
      <c r="K7" s="798"/>
      <c r="L7" s="799"/>
      <c r="M7" s="799"/>
      <c r="N7" s="799"/>
      <c r="O7" s="799"/>
      <c r="P7" s="799"/>
      <c r="Q7" s="800"/>
      <c r="R7" s="160"/>
      <c r="S7" s="55"/>
    </row>
    <row r="8" spans="1:19" s="149" customFormat="1" ht="30" customHeight="1" x14ac:dyDescent="0.25">
      <c r="A8" s="148"/>
      <c r="B8" s="168"/>
      <c r="C8" s="169"/>
      <c r="D8" s="254" t="s">
        <v>1291</v>
      </c>
      <c r="E8" s="255" t="s">
        <v>595</v>
      </c>
      <c r="F8" s="256" t="s">
        <v>960</v>
      </c>
      <c r="G8" s="256" t="s">
        <v>1292</v>
      </c>
      <c r="H8" s="255" t="s">
        <v>595</v>
      </c>
      <c r="I8" s="256" t="s">
        <v>1293</v>
      </c>
      <c r="J8" s="252" t="s">
        <v>1294</v>
      </c>
      <c r="K8" s="253" t="s">
        <v>1295</v>
      </c>
      <c r="L8" s="804" t="s">
        <v>1296</v>
      </c>
      <c r="M8" s="805"/>
      <c r="N8" s="806" t="s">
        <v>1297</v>
      </c>
      <c r="O8" s="805"/>
      <c r="P8" s="806" t="s">
        <v>1298</v>
      </c>
      <c r="Q8" s="807"/>
      <c r="R8" s="160"/>
      <c r="S8" s="55"/>
    </row>
    <row r="9" spans="1:19" ht="30" customHeight="1" x14ac:dyDescent="0.25">
      <c r="A9" s="4"/>
      <c r="B9" s="155"/>
      <c r="C9" s="170"/>
      <c r="D9" s="801" t="s">
        <v>1299</v>
      </c>
      <c r="E9" s="172" t="s">
        <v>1251</v>
      </c>
      <c r="F9" s="173" t="s">
        <v>1300</v>
      </c>
      <c r="G9" s="803" t="s">
        <v>1301</v>
      </c>
      <c r="H9" s="174" t="s">
        <v>1005</v>
      </c>
      <c r="I9" s="175" t="s">
        <v>1302</v>
      </c>
      <c r="J9" s="192">
        <f ca="1">NISTMap!M2</f>
        <v>0</v>
      </c>
      <c r="K9" s="188">
        <f>NISTMap!O2</f>
        <v>4</v>
      </c>
      <c r="L9" s="193">
        <f ca="1">NISTMap!P2</f>
        <v>0</v>
      </c>
      <c r="M9" s="194">
        <f>NISTMap!R2</f>
        <v>1</v>
      </c>
      <c r="N9" s="193">
        <f ca="1">NISTMap!S2</f>
        <v>0</v>
      </c>
      <c r="O9" s="195">
        <f>NISTMap!U2</f>
        <v>1</v>
      </c>
      <c r="P9" s="193">
        <f ca="1">NISTMap!V2</f>
        <v>0</v>
      </c>
      <c r="Q9" s="196">
        <f>NISTMap!X2</f>
        <v>2</v>
      </c>
      <c r="R9" s="160"/>
      <c r="S9" s="55"/>
    </row>
    <row r="10" spans="1:19" ht="30" customHeight="1" x14ac:dyDescent="0.25">
      <c r="A10" s="4"/>
      <c r="B10" s="155"/>
      <c r="C10" s="170"/>
      <c r="D10" s="801"/>
      <c r="E10" s="172"/>
      <c r="F10" s="173" t="s">
        <v>1303</v>
      </c>
      <c r="G10" s="803"/>
      <c r="H10" s="174" t="s">
        <v>1010</v>
      </c>
      <c r="I10" s="175" t="s">
        <v>1304</v>
      </c>
      <c r="J10" s="192">
        <f ca="1">NISTMap!M3</f>
        <v>0</v>
      </c>
      <c r="K10" s="188">
        <f>NISTMap!O3</f>
        <v>4</v>
      </c>
      <c r="L10" s="193">
        <f ca="1">NISTMap!P3</f>
        <v>0</v>
      </c>
      <c r="M10" s="194">
        <f>NISTMap!R3</f>
        <v>1</v>
      </c>
      <c r="N10" s="193">
        <f ca="1">NISTMap!S3</f>
        <v>0</v>
      </c>
      <c r="O10" s="195">
        <f>NISTMap!U3</f>
        <v>1</v>
      </c>
      <c r="P10" s="193">
        <f ca="1">NISTMap!V3</f>
        <v>0</v>
      </c>
      <c r="Q10" s="196">
        <f>NISTMap!X3</f>
        <v>2</v>
      </c>
      <c r="R10" s="160"/>
      <c r="S10" s="55"/>
    </row>
    <row r="11" spans="1:19" ht="30" customHeight="1" x14ac:dyDescent="0.25">
      <c r="A11" s="4"/>
      <c r="B11" s="155"/>
      <c r="C11" s="170"/>
      <c r="D11" s="801"/>
      <c r="E11" s="172"/>
      <c r="F11" s="173" t="s">
        <v>1303</v>
      </c>
      <c r="G11" s="803"/>
      <c r="H11" s="174" t="s">
        <v>1011</v>
      </c>
      <c r="I11" s="175" t="s">
        <v>1305</v>
      </c>
      <c r="J11" s="192">
        <f ca="1">NISTMap!M4</f>
        <v>0</v>
      </c>
      <c r="K11" s="188">
        <f>NISTMap!O4</f>
        <v>4</v>
      </c>
      <c r="L11" s="193">
        <f>NISTMap!P4</f>
        <v>0</v>
      </c>
      <c r="M11" s="194">
        <f>NISTMap!R4</f>
        <v>0</v>
      </c>
      <c r="N11" s="193">
        <f ca="1">NISTMap!S4</f>
        <v>0</v>
      </c>
      <c r="O11" s="195">
        <f>NISTMap!U4</f>
        <v>1</v>
      </c>
      <c r="P11" s="193">
        <f ca="1">NISTMap!V4</f>
        <v>0</v>
      </c>
      <c r="Q11" s="196">
        <f>NISTMap!X4</f>
        <v>3</v>
      </c>
      <c r="R11" s="160"/>
      <c r="S11" s="55"/>
    </row>
    <row r="12" spans="1:19" ht="30" customHeight="1" x14ac:dyDescent="0.25">
      <c r="A12" s="4"/>
      <c r="B12" s="155"/>
      <c r="C12" s="170"/>
      <c r="D12" s="801"/>
      <c r="E12" s="172"/>
      <c r="F12" s="173" t="s">
        <v>1303</v>
      </c>
      <c r="G12" s="803"/>
      <c r="H12" s="174" t="s">
        <v>1012</v>
      </c>
      <c r="I12" s="175" t="s">
        <v>1306</v>
      </c>
      <c r="J12" s="192">
        <f ca="1">NISTMap!M5</f>
        <v>0</v>
      </c>
      <c r="K12" s="188">
        <f>NISTMap!O5</f>
        <v>5</v>
      </c>
      <c r="L12" s="193">
        <f ca="1">NISTMap!P5</f>
        <v>0</v>
      </c>
      <c r="M12" s="194">
        <f>NISTMap!R5</f>
        <v>1</v>
      </c>
      <c r="N12" s="193">
        <f ca="1">NISTMap!S5</f>
        <v>0</v>
      </c>
      <c r="O12" s="195">
        <f>NISTMap!U5</f>
        <v>3</v>
      </c>
      <c r="P12" s="193">
        <f ca="1">NISTMap!V5</f>
        <v>0</v>
      </c>
      <c r="Q12" s="196">
        <f>NISTMap!X5</f>
        <v>1</v>
      </c>
      <c r="R12" s="160"/>
      <c r="S12" s="55"/>
    </row>
    <row r="13" spans="1:19" ht="45" customHeight="1" x14ac:dyDescent="0.25">
      <c r="A13" s="4"/>
      <c r="B13" s="155"/>
      <c r="C13" s="170"/>
      <c r="D13" s="801"/>
      <c r="E13" s="172"/>
      <c r="F13" s="173" t="s">
        <v>1303</v>
      </c>
      <c r="G13" s="803"/>
      <c r="H13" s="174" t="s">
        <v>983</v>
      </c>
      <c r="I13" s="175" t="s">
        <v>1307</v>
      </c>
      <c r="J13" s="192">
        <f ca="1">NISTMap!M6</f>
        <v>0</v>
      </c>
      <c r="K13" s="188">
        <f>NISTMap!O6</f>
        <v>7</v>
      </c>
      <c r="L13" s="193">
        <f ca="1">NISTMap!P6</f>
        <v>0</v>
      </c>
      <c r="M13" s="194">
        <f>NISTMap!R6</f>
        <v>2</v>
      </c>
      <c r="N13" s="193">
        <f ca="1">NISTMap!S6</f>
        <v>0</v>
      </c>
      <c r="O13" s="195">
        <f>NISTMap!U6</f>
        <v>4</v>
      </c>
      <c r="P13" s="193">
        <f ca="1">NISTMap!V6</f>
        <v>0</v>
      </c>
      <c r="Q13" s="196">
        <f>NISTMap!X6</f>
        <v>1</v>
      </c>
      <c r="R13" s="160"/>
      <c r="S13" s="55"/>
    </row>
    <row r="14" spans="1:19" ht="45" customHeight="1" x14ac:dyDescent="0.25">
      <c r="A14" s="4"/>
      <c r="B14" s="155"/>
      <c r="C14" s="170"/>
      <c r="D14" s="801"/>
      <c r="E14" s="172"/>
      <c r="F14" s="173" t="s">
        <v>1303</v>
      </c>
      <c r="G14" s="803"/>
      <c r="H14" s="174" t="s">
        <v>1019</v>
      </c>
      <c r="I14" s="175" t="s">
        <v>1308</v>
      </c>
      <c r="J14" s="192">
        <f ca="1">NISTMap!M7</f>
        <v>0</v>
      </c>
      <c r="K14" s="188">
        <f>NISTMap!O7</f>
        <v>4</v>
      </c>
      <c r="L14" s="193">
        <f ca="1">NISTMap!P7</f>
        <v>0</v>
      </c>
      <c r="M14" s="194">
        <f>NISTMap!R7</f>
        <v>2</v>
      </c>
      <c r="N14" s="193">
        <f ca="1">NISTMap!S7</f>
        <v>0</v>
      </c>
      <c r="O14" s="195">
        <f>NISTMap!U7</f>
        <v>2</v>
      </c>
      <c r="P14" s="193">
        <f>NISTMap!V7</f>
        <v>0</v>
      </c>
      <c r="Q14" s="196">
        <f>NISTMap!X7</f>
        <v>0</v>
      </c>
      <c r="R14" s="160"/>
      <c r="S14" s="55"/>
    </row>
    <row r="15" spans="1:19" ht="30" customHeight="1" x14ac:dyDescent="0.25">
      <c r="A15" s="4"/>
      <c r="B15" s="155"/>
      <c r="C15" s="170"/>
      <c r="D15" s="801"/>
      <c r="E15" s="212" t="s">
        <v>1252</v>
      </c>
      <c r="F15" s="177" t="s">
        <v>1309</v>
      </c>
      <c r="G15" s="793" t="s">
        <v>1310</v>
      </c>
      <c r="H15" s="178" t="s">
        <v>1023</v>
      </c>
      <c r="I15" s="179" t="s">
        <v>1311</v>
      </c>
      <c r="J15" s="197">
        <f ca="1">NISTMap!M8</f>
        <v>0</v>
      </c>
      <c r="K15" s="189">
        <f>NISTMap!O8</f>
        <v>5</v>
      </c>
      <c r="L15" s="198">
        <f ca="1">NISTMap!P8</f>
        <v>0</v>
      </c>
      <c r="M15" s="199">
        <f>NISTMap!R8</f>
        <v>1</v>
      </c>
      <c r="N15" s="198">
        <f ca="1">NISTMap!S8</f>
        <v>0</v>
      </c>
      <c r="O15" s="200">
        <f>NISTMap!U8</f>
        <v>3</v>
      </c>
      <c r="P15" s="198">
        <f ca="1">NISTMap!V8</f>
        <v>0</v>
      </c>
      <c r="Q15" s="201">
        <f>NISTMap!X8</f>
        <v>1</v>
      </c>
      <c r="R15" s="160"/>
      <c r="S15" s="55"/>
    </row>
    <row r="16" spans="1:19" ht="30" customHeight="1" x14ac:dyDescent="0.25">
      <c r="A16" s="4"/>
      <c r="B16" s="155"/>
      <c r="C16" s="170"/>
      <c r="D16" s="801"/>
      <c r="E16" s="213"/>
      <c r="F16" s="181" t="s">
        <v>1303</v>
      </c>
      <c r="G16" s="792"/>
      <c r="H16" s="182" t="s">
        <v>1027</v>
      </c>
      <c r="I16" s="183" t="s">
        <v>1312</v>
      </c>
      <c r="J16" s="192">
        <f ca="1">NISTMap!M9</f>
        <v>0</v>
      </c>
      <c r="K16" s="188">
        <f>NISTMap!O9</f>
        <v>6</v>
      </c>
      <c r="L16" s="193">
        <f ca="1">NISTMap!P9</f>
        <v>0</v>
      </c>
      <c r="M16" s="194">
        <f>NISTMap!R9</f>
        <v>1</v>
      </c>
      <c r="N16" s="193">
        <f ca="1">NISTMap!S9</f>
        <v>0</v>
      </c>
      <c r="O16" s="195">
        <f>NISTMap!U9</f>
        <v>4</v>
      </c>
      <c r="P16" s="193">
        <f ca="1">NISTMap!V9</f>
        <v>0</v>
      </c>
      <c r="Q16" s="196">
        <f>NISTMap!X9</f>
        <v>1</v>
      </c>
      <c r="R16" s="160"/>
      <c r="S16" s="55"/>
    </row>
    <row r="17" spans="1:19" ht="30" customHeight="1" x14ac:dyDescent="0.25">
      <c r="A17" s="4"/>
      <c r="B17" s="155"/>
      <c r="C17" s="170"/>
      <c r="D17" s="801"/>
      <c r="E17" s="213"/>
      <c r="F17" s="181" t="s">
        <v>1303</v>
      </c>
      <c r="G17" s="792"/>
      <c r="H17" s="182" t="s">
        <v>1029</v>
      </c>
      <c r="I17" s="183" t="s">
        <v>1313</v>
      </c>
      <c r="J17" s="192">
        <f ca="1">NISTMap!M10</f>
        <v>0</v>
      </c>
      <c r="K17" s="188">
        <f>NISTMap!O10</f>
        <v>1</v>
      </c>
      <c r="L17" s="193">
        <f>NISTMap!P10</f>
        <v>0</v>
      </c>
      <c r="M17" s="194">
        <f>NISTMap!R10</f>
        <v>0</v>
      </c>
      <c r="N17" s="193">
        <f ca="1">NISTMap!S10</f>
        <v>0</v>
      </c>
      <c r="O17" s="195">
        <f>NISTMap!U10</f>
        <v>1</v>
      </c>
      <c r="P17" s="193">
        <f>NISTMap!V10</f>
        <v>0</v>
      </c>
      <c r="Q17" s="196">
        <f>NISTMap!X10</f>
        <v>0</v>
      </c>
      <c r="R17" s="160"/>
      <c r="S17" s="55"/>
    </row>
    <row r="18" spans="1:19" ht="30" customHeight="1" x14ac:dyDescent="0.25">
      <c r="A18" s="4"/>
      <c r="B18" s="155"/>
      <c r="C18" s="170"/>
      <c r="D18" s="801"/>
      <c r="E18" s="213"/>
      <c r="F18" s="181" t="s">
        <v>1303</v>
      </c>
      <c r="G18" s="792"/>
      <c r="H18" s="182" t="s">
        <v>984</v>
      </c>
      <c r="I18" s="183" t="s">
        <v>1314</v>
      </c>
      <c r="J18" s="192">
        <f ca="1">NISTMap!M11</f>
        <v>0</v>
      </c>
      <c r="K18" s="188">
        <f>NISTMap!O11</f>
        <v>17</v>
      </c>
      <c r="L18" s="193">
        <f ca="1">NISTMap!P11</f>
        <v>0</v>
      </c>
      <c r="M18" s="194">
        <f>NISTMap!R11</f>
        <v>3</v>
      </c>
      <c r="N18" s="193">
        <f ca="1">NISTMap!S11</f>
        <v>0</v>
      </c>
      <c r="O18" s="195">
        <f>NISTMap!U11</f>
        <v>7</v>
      </c>
      <c r="P18" s="193">
        <f ca="1">NISTMap!V11</f>
        <v>0</v>
      </c>
      <c r="Q18" s="196">
        <f>NISTMap!X11</f>
        <v>7</v>
      </c>
      <c r="R18" s="160"/>
      <c r="S18" s="55"/>
    </row>
    <row r="19" spans="1:19" ht="45" customHeight="1" x14ac:dyDescent="0.25">
      <c r="A19" s="4"/>
      <c r="B19" s="155"/>
      <c r="C19" s="170"/>
      <c r="D19" s="801"/>
      <c r="E19" s="214"/>
      <c r="F19" s="185" t="s">
        <v>1303</v>
      </c>
      <c r="G19" s="794"/>
      <c r="H19" s="186" t="s">
        <v>1030</v>
      </c>
      <c r="I19" s="187" t="s">
        <v>1315</v>
      </c>
      <c r="J19" s="202">
        <f ca="1">NISTMap!M12</f>
        <v>0</v>
      </c>
      <c r="K19" s="190">
        <f>NISTMap!O12</f>
        <v>5</v>
      </c>
      <c r="L19" s="203">
        <f ca="1">NISTMap!P12</f>
        <v>0</v>
      </c>
      <c r="M19" s="204">
        <f>NISTMap!R12</f>
        <v>1</v>
      </c>
      <c r="N19" s="203">
        <f ca="1">NISTMap!S12</f>
        <v>0</v>
      </c>
      <c r="O19" s="205">
        <f>NISTMap!U12</f>
        <v>4</v>
      </c>
      <c r="P19" s="203">
        <f>NISTMap!V12</f>
        <v>0</v>
      </c>
      <c r="Q19" s="206">
        <f>NISTMap!X12</f>
        <v>0</v>
      </c>
      <c r="R19" s="160"/>
      <c r="S19" s="55"/>
    </row>
    <row r="20" spans="1:19" ht="30" customHeight="1" x14ac:dyDescent="0.25">
      <c r="A20" s="4"/>
      <c r="B20" s="155"/>
      <c r="C20" s="170"/>
      <c r="D20" s="801"/>
      <c r="E20" s="172" t="s">
        <v>1253</v>
      </c>
      <c r="F20" s="173" t="s">
        <v>1316</v>
      </c>
      <c r="G20" s="803" t="s">
        <v>1317</v>
      </c>
      <c r="H20" s="174" t="s">
        <v>1035</v>
      </c>
      <c r="I20" s="175" t="s">
        <v>1318</v>
      </c>
      <c r="J20" s="192">
        <f ca="1">NISTMap!M13</f>
        <v>0</v>
      </c>
      <c r="K20" s="188">
        <f>NISTMap!O13</f>
        <v>3</v>
      </c>
      <c r="L20" s="193">
        <f>NISTMap!P13</f>
        <v>0</v>
      </c>
      <c r="M20" s="194">
        <f>NISTMap!R13</f>
        <v>0</v>
      </c>
      <c r="N20" s="193">
        <f ca="1">NISTMap!S13</f>
        <v>0</v>
      </c>
      <c r="O20" s="195">
        <f>NISTMap!U13</f>
        <v>1</v>
      </c>
      <c r="P20" s="193">
        <f ca="1">NISTMap!V13</f>
        <v>0</v>
      </c>
      <c r="Q20" s="196">
        <f>NISTMap!X13</f>
        <v>2</v>
      </c>
      <c r="R20" s="160"/>
      <c r="S20" s="55"/>
    </row>
    <row r="21" spans="1:19" ht="30" customHeight="1" x14ac:dyDescent="0.25">
      <c r="A21" s="4"/>
      <c r="B21" s="155"/>
      <c r="C21" s="170"/>
      <c r="D21" s="801"/>
      <c r="E21" s="172"/>
      <c r="F21" s="173" t="s">
        <v>1303</v>
      </c>
      <c r="G21" s="803"/>
      <c r="H21" s="174" t="s">
        <v>985</v>
      </c>
      <c r="I21" s="175" t="s">
        <v>1319</v>
      </c>
      <c r="J21" s="192">
        <f ca="1">NISTMap!M14</f>
        <v>0</v>
      </c>
      <c r="K21" s="188">
        <f>NISTMap!O14</f>
        <v>6</v>
      </c>
      <c r="L21" s="193">
        <f ca="1">NISTMap!P14</f>
        <v>0</v>
      </c>
      <c r="M21" s="194">
        <f>NISTMap!R14</f>
        <v>2</v>
      </c>
      <c r="N21" s="193">
        <f ca="1">NISTMap!S14</f>
        <v>0</v>
      </c>
      <c r="O21" s="195">
        <f>NISTMap!U14</f>
        <v>2</v>
      </c>
      <c r="P21" s="193">
        <f ca="1">NISTMap!V14</f>
        <v>0</v>
      </c>
      <c r="Q21" s="196">
        <f>NISTMap!X14</f>
        <v>2</v>
      </c>
      <c r="R21" s="160"/>
      <c r="S21" s="55"/>
    </row>
    <row r="22" spans="1:19" ht="45" customHeight="1" x14ac:dyDescent="0.25">
      <c r="A22" s="4"/>
      <c r="B22" s="155"/>
      <c r="C22" s="170"/>
      <c r="D22" s="801"/>
      <c r="E22" s="172"/>
      <c r="F22" s="173" t="s">
        <v>1303</v>
      </c>
      <c r="G22" s="803"/>
      <c r="H22" s="174" t="s">
        <v>986</v>
      </c>
      <c r="I22" s="175" t="s">
        <v>1320</v>
      </c>
      <c r="J22" s="192">
        <f ca="1">NISTMap!M15</f>
        <v>0</v>
      </c>
      <c r="K22" s="188">
        <f>NISTMap!O15</f>
        <v>2</v>
      </c>
      <c r="L22" s="193">
        <f>NISTMap!P15</f>
        <v>0</v>
      </c>
      <c r="M22" s="194">
        <f>NISTMap!R15</f>
        <v>0</v>
      </c>
      <c r="N22" s="193">
        <f ca="1">NISTMap!S15</f>
        <v>0</v>
      </c>
      <c r="O22" s="195">
        <f>NISTMap!U15</f>
        <v>1</v>
      </c>
      <c r="P22" s="193">
        <f ca="1">NISTMap!V15</f>
        <v>0</v>
      </c>
      <c r="Q22" s="196">
        <f>NISTMap!X15</f>
        <v>1</v>
      </c>
      <c r="R22" s="160"/>
      <c r="S22" s="55"/>
    </row>
    <row r="23" spans="1:19" ht="30" customHeight="1" x14ac:dyDescent="0.25">
      <c r="A23" s="4"/>
      <c r="B23" s="155"/>
      <c r="C23" s="170"/>
      <c r="D23" s="801"/>
      <c r="E23" s="172"/>
      <c r="F23" s="173" t="s">
        <v>1303</v>
      </c>
      <c r="G23" s="803"/>
      <c r="H23" s="174" t="s">
        <v>1043</v>
      </c>
      <c r="I23" s="175" t="s">
        <v>1321</v>
      </c>
      <c r="J23" s="192">
        <f ca="1">NISTMap!M16</f>
        <v>0</v>
      </c>
      <c r="K23" s="188">
        <f>NISTMap!O16</f>
        <v>6</v>
      </c>
      <c r="L23" s="193">
        <f ca="1">NISTMap!P16</f>
        <v>0</v>
      </c>
      <c r="M23" s="194">
        <f>NISTMap!R16</f>
        <v>2</v>
      </c>
      <c r="N23" s="193">
        <f ca="1">NISTMap!S16</f>
        <v>0</v>
      </c>
      <c r="O23" s="195">
        <f>NISTMap!U16</f>
        <v>1</v>
      </c>
      <c r="P23" s="193">
        <f ca="1">NISTMap!V16</f>
        <v>0</v>
      </c>
      <c r="Q23" s="196">
        <f>NISTMap!X16</f>
        <v>3</v>
      </c>
      <c r="R23" s="160"/>
      <c r="S23" s="55"/>
    </row>
    <row r="24" spans="1:19" ht="30" customHeight="1" x14ac:dyDescent="0.25">
      <c r="A24" s="4"/>
      <c r="B24" s="155"/>
      <c r="C24" s="170"/>
      <c r="D24" s="801"/>
      <c r="E24" s="212" t="s">
        <v>1254</v>
      </c>
      <c r="F24" s="177" t="s">
        <v>1322</v>
      </c>
      <c r="G24" s="793" t="s">
        <v>1323</v>
      </c>
      <c r="H24" s="178" t="s">
        <v>1048</v>
      </c>
      <c r="I24" s="179" t="s">
        <v>1324</v>
      </c>
      <c r="J24" s="197">
        <f ca="1">NISTMap!M17</f>
        <v>0</v>
      </c>
      <c r="K24" s="189">
        <f>NISTMap!O17</f>
        <v>12</v>
      </c>
      <c r="L24" s="198">
        <f ca="1">NISTMap!P17</f>
        <v>0</v>
      </c>
      <c r="M24" s="199">
        <f>NISTMap!R17</f>
        <v>4</v>
      </c>
      <c r="N24" s="198">
        <f ca="1">NISTMap!S17</f>
        <v>0</v>
      </c>
      <c r="O24" s="200">
        <f>NISTMap!U17</f>
        <v>5</v>
      </c>
      <c r="P24" s="198">
        <f ca="1">NISTMap!V17</f>
        <v>0</v>
      </c>
      <c r="Q24" s="201">
        <f>NISTMap!X17</f>
        <v>3</v>
      </c>
      <c r="R24" s="160"/>
      <c r="S24" s="55"/>
    </row>
    <row r="25" spans="1:19" ht="30" customHeight="1" x14ac:dyDescent="0.25">
      <c r="A25" s="4"/>
      <c r="B25" s="155"/>
      <c r="C25" s="170"/>
      <c r="D25" s="801"/>
      <c r="E25" s="213"/>
      <c r="F25" s="181" t="s">
        <v>1303</v>
      </c>
      <c r="G25" s="792"/>
      <c r="H25" s="182" t="s">
        <v>1057</v>
      </c>
      <c r="I25" s="183" t="s">
        <v>1325</v>
      </c>
      <c r="J25" s="192">
        <f ca="1">NISTMap!M18</f>
        <v>0</v>
      </c>
      <c r="K25" s="188">
        <f>NISTMap!O18</f>
        <v>7</v>
      </c>
      <c r="L25" s="193">
        <f ca="1">NISTMap!P18</f>
        <v>0</v>
      </c>
      <c r="M25" s="194">
        <f>NISTMap!R18</f>
        <v>5</v>
      </c>
      <c r="N25" s="193">
        <f ca="1">NISTMap!S18</f>
        <v>0</v>
      </c>
      <c r="O25" s="195">
        <f>NISTMap!U18</f>
        <v>1</v>
      </c>
      <c r="P25" s="193">
        <f ca="1">NISTMap!V18</f>
        <v>0</v>
      </c>
      <c r="Q25" s="196">
        <f>NISTMap!X18</f>
        <v>1</v>
      </c>
      <c r="R25" s="160"/>
      <c r="S25" s="55"/>
    </row>
    <row r="26" spans="1:19" ht="30" customHeight="1" x14ac:dyDescent="0.25">
      <c r="A26" s="4"/>
      <c r="B26" s="155"/>
      <c r="C26" s="170"/>
      <c r="D26" s="801"/>
      <c r="E26" s="213"/>
      <c r="F26" s="181" t="s">
        <v>1303</v>
      </c>
      <c r="G26" s="792"/>
      <c r="H26" s="182" t="s">
        <v>1060</v>
      </c>
      <c r="I26" s="183" t="s">
        <v>1326</v>
      </c>
      <c r="J26" s="192">
        <f ca="1">NISTMap!M19</f>
        <v>0</v>
      </c>
      <c r="K26" s="188">
        <f>NISTMap!O19</f>
        <v>7</v>
      </c>
      <c r="L26" s="193">
        <f ca="1">NISTMap!P19</f>
        <v>0</v>
      </c>
      <c r="M26" s="194">
        <f>NISTMap!R19</f>
        <v>2</v>
      </c>
      <c r="N26" s="193">
        <f ca="1">NISTMap!S19</f>
        <v>0</v>
      </c>
      <c r="O26" s="195">
        <f>NISTMap!U19</f>
        <v>4</v>
      </c>
      <c r="P26" s="193">
        <f ca="1">NISTMap!V19</f>
        <v>0</v>
      </c>
      <c r="Q26" s="196">
        <f>NISTMap!X19</f>
        <v>1</v>
      </c>
      <c r="R26" s="160"/>
      <c r="S26" s="55"/>
    </row>
    <row r="27" spans="1:19" ht="30" customHeight="1" x14ac:dyDescent="0.25">
      <c r="A27" s="4"/>
      <c r="B27" s="155"/>
      <c r="C27" s="170"/>
      <c r="D27" s="801"/>
      <c r="E27" s="213"/>
      <c r="F27" s="181" t="s">
        <v>1303</v>
      </c>
      <c r="G27" s="792"/>
      <c r="H27" s="182" t="s">
        <v>1063</v>
      </c>
      <c r="I27" s="183" t="s">
        <v>1327</v>
      </c>
      <c r="J27" s="192">
        <f ca="1">NISTMap!M20</f>
        <v>0</v>
      </c>
      <c r="K27" s="188">
        <f>NISTMap!O20</f>
        <v>4</v>
      </c>
      <c r="L27" s="193">
        <f>NISTMap!P20</f>
        <v>0</v>
      </c>
      <c r="M27" s="194">
        <f>NISTMap!R20</f>
        <v>0</v>
      </c>
      <c r="N27" s="193">
        <f ca="1">NISTMap!S20</f>
        <v>0</v>
      </c>
      <c r="O27" s="195">
        <f>NISTMap!U20</f>
        <v>4</v>
      </c>
      <c r="P27" s="193">
        <f>NISTMap!V20</f>
        <v>0</v>
      </c>
      <c r="Q27" s="196">
        <f>NISTMap!X20</f>
        <v>0</v>
      </c>
      <c r="R27" s="160"/>
      <c r="S27" s="55"/>
    </row>
    <row r="28" spans="1:19" ht="30" customHeight="1" x14ac:dyDescent="0.25">
      <c r="A28" s="4"/>
      <c r="B28" s="155"/>
      <c r="C28" s="170"/>
      <c r="D28" s="801"/>
      <c r="E28" s="213"/>
      <c r="F28" s="181" t="s">
        <v>1303</v>
      </c>
      <c r="G28" s="792"/>
      <c r="H28" s="182" t="s">
        <v>1065</v>
      </c>
      <c r="I28" s="183" t="s">
        <v>1328</v>
      </c>
      <c r="J28" s="192">
        <f ca="1">NISTMap!M21</f>
        <v>0</v>
      </c>
      <c r="K28" s="188">
        <f>NISTMap!O21</f>
        <v>5</v>
      </c>
      <c r="L28" s="193">
        <f>NISTMap!P21</f>
        <v>0</v>
      </c>
      <c r="M28" s="194">
        <f>NISTMap!R21</f>
        <v>0</v>
      </c>
      <c r="N28" s="193">
        <f ca="1">NISTMap!S21</f>
        <v>0</v>
      </c>
      <c r="O28" s="195">
        <f>NISTMap!U21</f>
        <v>2</v>
      </c>
      <c r="P28" s="193">
        <f ca="1">NISTMap!V21</f>
        <v>0</v>
      </c>
      <c r="Q28" s="196">
        <f>NISTMap!X21</f>
        <v>3</v>
      </c>
      <c r="R28" s="160"/>
      <c r="S28" s="55"/>
    </row>
    <row r="29" spans="1:19" ht="30" customHeight="1" x14ac:dyDescent="0.25">
      <c r="A29" s="4"/>
      <c r="B29" s="155"/>
      <c r="C29" s="170"/>
      <c r="D29" s="801"/>
      <c r="E29" s="214"/>
      <c r="F29" s="185" t="s">
        <v>1303</v>
      </c>
      <c r="G29" s="794"/>
      <c r="H29" s="186" t="s">
        <v>1066</v>
      </c>
      <c r="I29" s="187" t="s">
        <v>1329</v>
      </c>
      <c r="J29" s="202">
        <f ca="1">NISTMap!M22</f>
        <v>0</v>
      </c>
      <c r="K29" s="190">
        <f>NISTMap!O22</f>
        <v>6</v>
      </c>
      <c r="L29" s="203">
        <f>NISTMap!P22</f>
        <v>0</v>
      </c>
      <c r="M29" s="204">
        <f>NISTMap!R22</f>
        <v>0</v>
      </c>
      <c r="N29" s="203">
        <f ca="1">NISTMap!S22</f>
        <v>0</v>
      </c>
      <c r="O29" s="205">
        <f>NISTMap!U22</f>
        <v>4</v>
      </c>
      <c r="P29" s="203">
        <f ca="1">NISTMap!V22</f>
        <v>0</v>
      </c>
      <c r="Q29" s="206">
        <f>NISTMap!X22</f>
        <v>2</v>
      </c>
      <c r="R29" s="160"/>
      <c r="S29" s="55"/>
    </row>
    <row r="30" spans="1:19" ht="30" customHeight="1" x14ac:dyDescent="0.25">
      <c r="A30" s="4"/>
      <c r="B30" s="155"/>
      <c r="C30" s="170"/>
      <c r="D30" s="801"/>
      <c r="E30" s="172" t="s">
        <v>1255</v>
      </c>
      <c r="F30" s="173" t="s">
        <v>1330</v>
      </c>
      <c r="G30" s="803" t="s">
        <v>1331</v>
      </c>
      <c r="H30" s="174" t="s">
        <v>1068</v>
      </c>
      <c r="I30" s="175" t="s">
        <v>1332</v>
      </c>
      <c r="J30" s="192">
        <f ca="1">NISTMap!M23</f>
        <v>0</v>
      </c>
      <c r="K30" s="188">
        <f>NISTMap!O23</f>
        <v>19</v>
      </c>
      <c r="L30" s="193">
        <f ca="1">NISTMap!P23</f>
        <v>0</v>
      </c>
      <c r="M30" s="194">
        <f>NISTMap!R23</f>
        <v>3</v>
      </c>
      <c r="N30" s="193">
        <f ca="1">NISTMap!S23</f>
        <v>0</v>
      </c>
      <c r="O30" s="195">
        <f>NISTMap!U23</f>
        <v>9</v>
      </c>
      <c r="P30" s="193">
        <f ca="1">NISTMap!V23</f>
        <v>0</v>
      </c>
      <c r="Q30" s="196">
        <f>NISTMap!X23</f>
        <v>7</v>
      </c>
      <c r="R30" s="160"/>
      <c r="S30" s="55"/>
    </row>
    <row r="31" spans="1:19" ht="30" customHeight="1" x14ac:dyDescent="0.25">
      <c r="A31" s="4"/>
      <c r="B31" s="155"/>
      <c r="C31" s="170"/>
      <c r="D31" s="801"/>
      <c r="E31" s="172"/>
      <c r="F31" s="173" t="s">
        <v>1303</v>
      </c>
      <c r="G31" s="803"/>
      <c r="H31" s="174" t="s">
        <v>1077</v>
      </c>
      <c r="I31" s="175" t="s">
        <v>1333</v>
      </c>
      <c r="J31" s="192">
        <f ca="1">NISTMap!M24</f>
        <v>0</v>
      </c>
      <c r="K31" s="188">
        <f>NISTMap!O24</f>
        <v>2</v>
      </c>
      <c r="L31" s="193">
        <f>NISTMap!P24</f>
        <v>0</v>
      </c>
      <c r="M31" s="194">
        <f>NISTMap!R24</f>
        <v>0</v>
      </c>
      <c r="N31" s="193">
        <f ca="1">NISTMap!S24</f>
        <v>0</v>
      </c>
      <c r="O31" s="195">
        <f>NISTMap!U24</f>
        <v>1</v>
      </c>
      <c r="P31" s="193">
        <f ca="1">NISTMap!V24</f>
        <v>0</v>
      </c>
      <c r="Q31" s="196">
        <f>NISTMap!X24</f>
        <v>1</v>
      </c>
      <c r="R31" s="160"/>
      <c r="S31" s="55"/>
    </row>
    <row r="32" spans="1:19" ht="30" customHeight="1" x14ac:dyDescent="0.25">
      <c r="A32" s="4"/>
      <c r="B32" s="155"/>
      <c r="C32" s="170"/>
      <c r="D32" s="801"/>
      <c r="E32" s="172"/>
      <c r="F32" s="173" t="s">
        <v>1303</v>
      </c>
      <c r="G32" s="803"/>
      <c r="H32" s="174" t="s">
        <v>1078</v>
      </c>
      <c r="I32" s="175" t="s">
        <v>1334</v>
      </c>
      <c r="J32" s="192">
        <f ca="1">NISTMap!M25</f>
        <v>0</v>
      </c>
      <c r="K32" s="188">
        <f>NISTMap!O25</f>
        <v>1</v>
      </c>
      <c r="L32" s="193">
        <f>NISTMap!P25</f>
        <v>0</v>
      </c>
      <c r="M32" s="194">
        <f>NISTMap!R25</f>
        <v>0</v>
      </c>
      <c r="N32" s="193">
        <f ca="1">NISTMap!S25</f>
        <v>0</v>
      </c>
      <c r="O32" s="195">
        <f>NISTMap!U25</f>
        <v>1</v>
      </c>
      <c r="P32" s="193">
        <f>NISTMap!V25</f>
        <v>0</v>
      </c>
      <c r="Q32" s="196">
        <f>NISTMap!X25</f>
        <v>0</v>
      </c>
      <c r="R32" s="160"/>
      <c r="S32" s="55"/>
    </row>
    <row r="33" spans="1:19" ht="45" customHeight="1" x14ac:dyDescent="0.25">
      <c r="A33" s="4"/>
      <c r="B33" s="155"/>
      <c r="C33" s="170"/>
      <c r="D33" s="801"/>
      <c r="E33" s="212" t="s">
        <v>1256</v>
      </c>
      <c r="F33" s="177" t="s">
        <v>1335</v>
      </c>
      <c r="G33" s="793" t="s">
        <v>1336</v>
      </c>
      <c r="H33" s="178" t="s">
        <v>987</v>
      </c>
      <c r="I33" s="179" t="s">
        <v>1337</v>
      </c>
      <c r="J33" s="197">
        <f ca="1">NISTMap!M26</f>
        <v>0</v>
      </c>
      <c r="K33" s="189">
        <f>NISTMap!O26</f>
        <v>4</v>
      </c>
      <c r="L33" s="198">
        <f ca="1">NISTMap!P26</f>
        <v>0</v>
      </c>
      <c r="M33" s="199">
        <f>NISTMap!R26</f>
        <v>2</v>
      </c>
      <c r="N33" s="198">
        <f ca="1">NISTMap!S26</f>
        <v>0</v>
      </c>
      <c r="O33" s="200">
        <f>NISTMap!U26</f>
        <v>1</v>
      </c>
      <c r="P33" s="198">
        <f ca="1">NISTMap!V26</f>
        <v>0</v>
      </c>
      <c r="Q33" s="201">
        <f>NISTMap!X26</f>
        <v>1</v>
      </c>
      <c r="R33" s="160"/>
      <c r="S33" s="55"/>
    </row>
    <row r="34" spans="1:19" ht="45" customHeight="1" x14ac:dyDescent="0.25">
      <c r="A34" s="4"/>
      <c r="B34" s="155"/>
      <c r="C34" s="170"/>
      <c r="D34" s="801"/>
      <c r="E34" s="213"/>
      <c r="F34" s="181" t="s">
        <v>1303</v>
      </c>
      <c r="G34" s="792"/>
      <c r="H34" s="182" t="s">
        <v>1083</v>
      </c>
      <c r="I34" s="183" t="s">
        <v>1338</v>
      </c>
      <c r="J34" s="192">
        <f ca="1">NISTMap!M27</f>
        <v>0</v>
      </c>
      <c r="K34" s="188">
        <f>NISTMap!O27</f>
        <v>8</v>
      </c>
      <c r="L34" s="193">
        <f ca="1">NISTMap!P27</f>
        <v>0</v>
      </c>
      <c r="M34" s="194">
        <f>NISTMap!R27</f>
        <v>2</v>
      </c>
      <c r="N34" s="193">
        <f ca="1">NISTMap!S27</f>
        <v>0</v>
      </c>
      <c r="O34" s="195">
        <f>NISTMap!U27</f>
        <v>4</v>
      </c>
      <c r="P34" s="193">
        <f ca="1">NISTMap!V27</f>
        <v>0</v>
      </c>
      <c r="Q34" s="196">
        <f>NISTMap!X27</f>
        <v>2</v>
      </c>
      <c r="R34" s="160"/>
      <c r="S34" s="55"/>
    </row>
    <row r="35" spans="1:19" ht="60" customHeight="1" x14ac:dyDescent="0.25">
      <c r="A35" s="4"/>
      <c r="B35" s="155"/>
      <c r="C35" s="170"/>
      <c r="D35" s="801"/>
      <c r="E35" s="213"/>
      <c r="F35" s="181" t="s">
        <v>1303</v>
      </c>
      <c r="G35" s="792"/>
      <c r="H35" s="182" t="s">
        <v>988</v>
      </c>
      <c r="I35" s="183" t="s">
        <v>1339</v>
      </c>
      <c r="J35" s="192">
        <f ca="1">NISTMap!M28</f>
        <v>0</v>
      </c>
      <c r="K35" s="188">
        <f>NISTMap!O28</f>
        <v>9</v>
      </c>
      <c r="L35" s="193">
        <f ca="1">NISTMap!P28</f>
        <v>0</v>
      </c>
      <c r="M35" s="194">
        <f>NISTMap!R28</f>
        <v>1</v>
      </c>
      <c r="N35" s="193">
        <f ca="1">NISTMap!S28</f>
        <v>0</v>
      </c>
      <c r="O35" s="195">
        <f>NISTMap!U28</f>
        <v>5</v>
      </c>
      <c r="P35" s="193">
        <f ca="1">NISTMap!V28</f>
        <v>0</v>
      </c>
      <c r="Q35" s="196">
        <f>NISTMap!X28</f>
        <v>3</v>
      </c>
      <c r="R35" s="160"/>
      <c r="S35" s="55"/>
    </row>
    <row r="36" spans="1:19" ht="45" customHeight="1" x14ac:dyDescent="0.25">
      <c r="A36" s="4"/>
      <c r="B36" s="155"/>
      <c r="C36" s="170"/>
      <c r="D36" s="801"/>
      <c r="E36" s="213"/>
      <c r="F36" s="181" t="s">
        <v>1303</v>
      </c>
      <c r="G36" s="792"/>
      <c r="H36" s="182" t="s">
        <v>1003</v>
      </c>
      <c r="I36" s="183" t="s">
        <v>1340</v>
      </c>
      <c r="J36" s="192">
        <f ca="1">NISTMap!M29</f>
        <v>0</v>
      </c>
      <c r="K36" s="188">
        <f>NISTMap!O29</f>
        <v>3</v>
      </c>
      <c r="L36" s="193">
        <f>NISTMap!P29</f>
        <v>0</v>
      </c>
      <c r="M36" s="194">
        <f>NISTMap!R29</f>
        <v>0</v>
      </c>
      <c r="N36" s="193">
        <f ca="1">NISTMap!S29</f>
        <v>0</v>
      </c>
      <c r="O36" s="195">
        <f>NISTMap!U29</f>
        <v>1</v>
      </c>
      <c r="P36" s="193">
        <f ca="1">NISTMap!V29</f>
        <v>0</v>
      </c>
      <c r="Q36" s="196">
        <f>NISTMap!X29</f>
        <v>2</v>
      </c>
      <c r="R36" s="160"/>
      <c r="S36" s="55"/>
    </row>
    <row r="37" spans="1:19" ht="30" customHeight="1" x14ac:dyDescent="0.25">
      <c r="A37" s="4"/>
      <c r="B37" s="155"/>
      <c r="C37" s="170"/>
      <c r="D37" s="802"/>
      <c r="E37" s="214"/>
      <c r="F37" s="185" t="s">
        <v>1303</v>
      </c>
      <c r="G37" s="794"/>
      <c r="H37" s="186" t="s">
        <v>1091</v>
      </c>
      <c r="I37" s="187" t="s">
        <v>1341</v>
      </c>
      <c r="J37" s="202">
        <f ca="1">NISTMap!M30</f>
        <v>0</v>
      </c>
      <c r="K37" s="190">
        <f>NISTMap!O30</f>
        <v>4</v>
      </c>
      <c r="L37" s="203">
        <f>NISTMap!P30</f>
        <v>0</v>
      </c>
      <c r="M37" s="204">
        <f>NISTMap!R30</f>
        <v>0</v>
      </c>
      <c r="N37" s="203">
        <f ca="1">NISTMap!S30</f>
        <v>0</v>
      </c>
      <c r="O37" s="205">
        <f>NISTMap!U30</f>
        <v>2</v>
      </c>
      <c r="P37" s="203">
        <f ca="1">NISTMap!V30</f>
        <v>0</v>
      </c>
      <c r="Q37" s="206">
        <f>NISTMap!X30</f>
        <v>2</v>
      </c>
      <c r="R37" s="160"/>
      <c r="S37" s="55"/>
    </row>
    <row r="38" spans="1:19" ht="30" customHeight="1" x14ac:dyDescent="0.25">
      <c r="A38" s="4"/>
      <c r="B38" s="155"/>
      <c r="C38" s="170"/>
      <c r="D38" s="814" t="s">
        <v>1342</v>
      </c>
      <c r="E38" s="176" t="s">
        <v>1257</v>
      </c>
      <c r="F38" s="177" t="s">
        <v>1343</v>
      </c>
      <c r="G38" s="793" t="s">
        <v>1344</v>
      </c>
      <c r="H38" s="178" t="s">
        <v>1095</v>
      </c>
      <c r="I38" s="179" t="s">
        <v>1345</v>
      </c>
      <c r="J38" s="197">
        <f ca="1">NISTMap!M31</f>
        <v>0</v>
      </c>
      <c r="K38" s="189">
        <f>NISTMap!O31</f>
        <v>8</v>
      </c>
      <c r="L38" s="198">
        <f ca="1">NISTMap!P31</f>
        <v>0</v>
      </c>
      <c r="M38" s="199">
        <f>NISTMap!R31</f>
        <v>3</v>
      </c>
      <c r="N38" s="198">
        <f ca="1">NISTMap!S31</f>
        <v>0</v>
      </c>
      <c r="O38" s="200">
        <f>NISTMap!U31</f>
        <v>4</v>
      </c>
      <c r="P38" s="198">
        <f ca="1">NISTMap!V31</f>
        <v>0</v>
      </c>
      <c r="Q38" s="201">
        <f>NISTMap!X31</f>
        <v>1</v>
      </c>
      <c r="R38" s="160"/>
      <c r="S38" s="55"/>
    </row>
    <row r="39" spans="1:19" ht="30" customHeight="1" x14ac:dyDescent="0.25">
      <c r="A39" s="4"/>
      <c r="B39" s="155"/>
      <c r="C39" s="170"/>
      <c r="D39" s="814"/>
      <c r="E39" s="180"/>
      <c r="F39" s="181" t="s">
        <v>1303</v>
      </c>
      <c r="G39" s="792"/>
      <c r="H39" s="182" t="s">
        <v>1103</v>
      </c>
      <c r="I39" s="183" t="s">
        <v>1346</v>
      </c>
      <c r="J39" s="192">
        <f ca="1">NISTMap!M32</f>
        <v>0</v>
      </c>
      <c r="K39" s="188">
        <f>NISTMap!O32</f>
        <v>7</v>
      </c>
      <c r="L39" s="193">
        <f ca="1">NISTMap!P32</f>
        <v>0</v>
      </c>
      <c r="M39" s="194">
        <f>NISTMap!R32</f>
        <v>3</v>
      </c>
      <c r="N39" s="193">
        <f ca="1">NISTMap!S32</f>
        <v>0</v>
      </c>
      <c r="O39" s="195">
        <f>NISTMap!U32</f>
        <v>3</v>
      </c>
      <c r="P39" s="193">
        <f ca="1">NISTMap!V32</f>
        <v>0</v>
      </c>
      <c r="Q39" s="196">
        <f>NISTMap!X32</f>
        <v>1</v>
      </c>
      <c r="R39" s="160"/>
      <c r="S39" s="55"/>
    </row>
    <row r="40" spans="1:19" ht="30" customHeight="1" x14ac:dyDescent="0.25">
      <c r="A40" s="4"/>
      <c r="B40" s="155"/>
      <c r="C40" s="170"/>
      <c r="D40" s="814"/>
      <c r="E40" s="180"/>
      <c r="F40" s="181" t="s">
        <v>1303</v>
      </c>
      <c r="G40" s="792"/>
      <c r="H40" s="182" t="s">
        <v>1111</v>
      </c>
      <c r="I40" s="183" t="s">
        <v>1347</v>
      </c>
      <c r="J40" s="192">
        <f ca="1">NISTMap!M33</f>
        <v>0</v>
      </c>
      <c r="K40" s="188">
        <f>NISTMap!O33</f>
        <v>7</v>
      </c>
      <c r="L40" s="193">
        <f ca="1">NISTMap!P33</f>
        <v>0</v>
      </c>
      <c r="M40" s="194">
        <f>NISTMap!R33</f>
        <v>3</v>
      </c>
      <c r="N40" s="193">
        <f ca="1">NISTMap!S33</f>
        <v>0</v>
      </c>
      <c r="O40" s="195">
        <f>NISTMap!U33</f>
        <v>3</v>
      </c>
      <c r="P40" s="193">
        <f ca="1">NISTMap!V33</f>
        <v>0</v>
      </c>
      <c r="Q40" s="196">
        <f>NISTMap!X33</f>
        <v>1</v>
      </c>
      <c r="R40" s="160"/>
      <c r="S40" s="55"/>
    </row>
    <row r="41" spans="1:19" ht="45" customHeight="1" x14ac:dyDescent="0.25">
      <c r="A41" s="4"/>
      <c r="B41" s="155"/>
      <c r="C41" s="170"/>
      <c r="D41" s="814"/>
      <c r="E41" s="180"/>
      <c r="F41" s="181" t="s">
        <v>1303</v>
      </c>
      <c r="G41" s="792"/>
      <c r="H41" s="182" t="s">
        <v>1112</v>
      </c>
      <c r="I41" s="183" t="s">
        <v>1348</v>
      </c>
      <c r="J41" s="192">
        <f ca="1">NISTMap!M34</f>
        <v>0</v>
      </c>
      <c r="K41" s="188">
        <f>NISTMap!O34</f>
        <v>1</v>
      </c>
      <c r="L41" s="193">
        <f>NISTMap!P34</f>
        <v>0</v>
      </c>
      <c r="M41" s="194">
        <f>NISTMap!R34</f>
        <v>0</v>
      </c>
      <c r="N41" s="193">
        <f ca="1">NISTMap!S34</f>
        <v>0</v>
      </c>
      <c r="O41" s="195">
        <f>NISTMap!U34</f>
        <v>1</v>
      </c>
      <c r="P41" s="193">
        <f>NISTMap!V34</f>
        <v>0</v>
      </c>
      <c r="Q41" s="196">
        <f>NISTMap!X34</f>
        <v>0</v>
      </c>
      <c r="R41" s="160"/>
      <c r="S41" s="55"/>
    </row>
    <row r="42" spans="1:19" ht="30" customHeight="1" x14ac:dyDescent="0.25">
      <c r="A42" s="4"/>
      <c r="B42" s="155"/>
      <c r="C42" s="170"/>
      <c r="D42" s="814"/>
      <c r="E42" s="180"/>
      <c r="F42" s="181" t="s">
        <v>1303</v>
      </c>
      <c r="G42" s="792"/>
      <c r="H42" s="182" t="s">
        <v>1113</v>
      </c>
      <c r="I42" s="183" t="s">
        <v>1349</v>
      </c>
      <c r="J42" s="192">
        <f ca="1">NISTMap!M35</f>
        <v>0</v>
      </c>
      <c r="K42" s="188">
        <f>NISTMap!O35</f>
        <v>9</v>
      </c>
      <c r="L42" s="193">
        <f ca="1">NISTMap!P35</f>
        <v>0</v>
      </c>
      <c r="M42" s="194">
        <f>NISTMap!R35</f>
        <v>2</v>
      </c>
      <c r="N42" s="193">
        <f ca="1">NISTMap!S35</f>
        <v>0</v>
      </c>
      <c r="O42" s="195">
        <f>NISTMap!U35</f>
        <v>6</v>
      </c>
      <c r="P42" s="193">
        <f ca="1">NISTMap!V35</f>
        <v>0</v>
      </c>
      <c r="Q42" s="196">
        <f>NISTMap!X35</f>
        <v>1</v>
      </c>
      <c r="R42" s="160"/>
      <c r="S42" s="55"/>
    </row>
    <row r="43" spans="1:19" ht="30" customHeight="1" x14ac:dyDescent="0.25">
      <c r="A43" s="4"/>
      <c r="B43" s="155"/>
      <c r="C43" s="170"/>
      <c r="D43" s="814"/>
      <c r="E43" s="180"/>
      <c r="F43" s="181" t="s">
        <v>1303</v>
      </c>
      <c r="G43" s="792"/>
      <c r="H43" s="182" t="s">
        <v>1117</v>
      </c>
      <c r="I43" s="183" t="s">
        <v>1350</v>
      </c>
      <c r="J43" s="192">
        <f ca="1">NISTMap!M36</f>
        <v>0</v>
      </c>
      <c r="K43" s="188">
        <f>NISTMap!O36</f>
        <v>1</v>
      </c>
      <c r="L43" s="193">
        <f>NISTMap!P36</f>
        <v>0</v>
      </c>
      <c r="M43" s="194">
        <f>NISTMap!R36</f>
        <v>0</v>
      </c>
      <c r="N43" s="193">
        <f ca="1">NISTMap!S36</f>
        <v>0</v>
      </c>
      <c r="O43" s="195">
        <f>NISTMap!U36</f>
        <v>1</v>
      </c>
      <c r="P43" s="193">
        <f>NISTMap!V36</f>
        <v>0</v>
      </c>
      <c r="Q43" s="196">
        <f>NISTMap!X36</f>
        <v>0</v>
      </c>
      <c r="R43" s="160"/>
      <c r="S43" s="55"/>
    </row>
    <row r="44" spans="1:19" ht="60" customHeight="1" x14ac:dyDescent="0.25">
      <c r="A44" s="4"/>
      <c r="B44" s="155"/>
      <c r="C44" s="170"/>
      <c r="D44" s="814"/>
      <c r="E44" s="180"/>
      <c r="F44" s="181" t="s">
        <v>1303</v>
      </c>
      <c r="G44" s="792"/>
      <c r="H44" s="182" t="s">
        <v>1118</v>
      </c>
      <c r="I44" s="183" t="s">
        <v>1351</v>
      </c>
      <c r="J44" s="192">
        <f ca="1">NISTMap!M37</f>
        <v>0</v>
      </c>
      <c r="K44" s="188">
        <f>NISTMap!O37</f>
        <v>2</v>
      </c>
      <c r="L44" s="193">
        <f ca="1">NISTMap!P37</f>
        <v>0</v>
      </c>
      <c r="M44" s="194">
        <f>NISTMap!R37</f>
        <v>1</v>
      </c>
      <c r="N44" s="193">
        <f>NISTMap!S37</f>
        <v>0</v>
      </c>
      <c r="O44" s="195">
        <f>NISTMap!U37</f>
        <v>0</v>
      </c>
      <c r="P44" s="193">
        <f ca="1">NISTMap!V37</f>
        <v>0</v>
      </c>
      <c r="Q44" s="196">
        <f>NISTMap!X37</f>
        <v>1</v>
      </c>
      <c r="R44" s="160"/>
      <c r="S44" s="55"/>
    </row>
    <row r="45" spans="1:19" ht="30" customHeight="1" x14ac:dyDescent="0.25">
      <c r="A45" s="4"/>
      <c r="B45" s="155"/>
      <c r="C45" s="170"/>
      <c r="D45" s="814"/>
      <c r="E45" s="212" t="s">
        <v>1258</v>
      </c>
      <c r="F45" s="177" t="s">
        <v>1352</v>
      </c>
      <c r="G45" s="793" t="s">
        <v>1353</v>
      </c>
      <c r="H45" s="178" t="s">
        <v>989</v>
      </c>
      <c r="I45" s="179" t="s">
        <v>1354</v>
      </c>
      <c r="J45" s="197">
        <f ca="1">NISTMap!M38</f>
        <v>0</v>
      </c>
      <c r="K45" s="189">
        <f>NISTMap!O38</f>
        <v>7</v>
      </c>
      <c r="L45" s="198">
        <f ca="1">NISTMap!P38</f>
        <v>0</v>
      </c>
      <c r="M45" s="199">
        <f>NISTMap!R38</f>
        <v>3</v>
      </c>
      <c r="N45" s="198">
        <f ca="1">NISTMap!S38</f>
        <v>0</v>
      </c>
      <c r="O45" s="200">
        <f>NISTMap!U38</f>
        <v>2</v>
      </c>
      <c r="P45" s="198">
        <f ca="1">NISTMap!V38</f>
        <v>0</v>
      </c>
      <c r="Q45" s="201">
        <f>NISTMap!X38</f>
        <v>2</v>
      </c>
      <c r="R45" s="160"/>
      <c r="S45" s="55"/>
    </row>
    <row r="46" spans="1:19" ht="30" customHeight="1" x14ac:dyDescent="0.25">
      <c r="A46" s="4"/>
      <c r="B46" s="155"/>
      <c r="C46" s="170"/>
      <c r="D46" s="814"/>
      <c r="E46" s="213"/>
      <c r="F46" s="181" t="s">
        <v>1303</v>
      </c>
      <c r="G46" s="792"/>
      <c r="H46" s="182" t="s">
        <v>990</v>
      </c>
      <c r="I46" s="183" t="s">
        <v>1355</v>
      </c>
      <c r="J46" s="192">
        <f ca="1">NISTMap!M39</f>
        <v>0</v>
      </c>
      <c r="K46" s="188">
        <f>NISTMap!O39</f>
        <v>6</v>
      </c>
      <c r="L46" s="193">
        <f ca="1">NISTMap!P39</f>
        <v>0</v>
      </c>
      <c r="M46" s="194">
        <f>NISTMap!R39</f>
        <v>2</v>
      </c>
      <c r="N46" s="193">
        <f ca="1">NISTMap!S39</f>
        <v>0</v>
      </c>
      <c r="O46" s="195">
        <f>NISTMap!U39</f>
        <v>2</v>
      </c>
      <c r="P46" s="193">
        <f ca="1">NISTMap!V39</f>
        <v>0</v>
      </c>
      <c r="Q46" s="196">
        <f>NISTMap!X39</f>
        <v>2</v>
      </c>
      <c r="R46" s="160"/>
      <c r="S46" s="55"/>
    </row>
    <row r="47" spans="1:19" ht="30" customHeight="1" x14ac:dyDescent="0.25">
      <c r="A47" s="4"/>
      <c r="B47" s="155"/>
      <c r="C47" s="170"/>
      <c r="D47" s="814"/>
      <c r="E47" s="213"/>
      <c r="F47" s="181" t="s">
        <v>1303</v>
      </c>
      <c r="G47" s="792"/>
      <c r="H47" s="182" t="s">
        <v>991</v>
      </c>
      <c r="I47" s="183" t="s">
        <v>1356</v>
      </c>
      <c r="J47" s="192">
        <f ca="1">NISTMap!M40</f>
        <v>0</v>
      </c>
      <c r="K47" s="188">
        <f>NISTMap!O40</f>
        <v>6</v>
      </c>
      <c r="L47" s="193">
        <f ca="1">NISTMap!P40</f>
        <v>0</v>
      </c>
      <c r="M47" s="194">
        <f>NISTMap!R40</f>
        <v>2</v>
      </c>
      <c r="N47" s="193">
        <f ca="1">NISTMap!S40</f>
        <v>0</v>
      </c>
      <c r="O47" s="195">
        <f>NISTMap!U40</f>
        <v>2</v>
      </c>
      <c r="P47" s="193">
        <f ca="1">NISTMap!V40</f>
        <v>0</v>
      </c>
      <c r="Q47" s="196">
        <f>NISTMap!X40</f>
        <v>2</v>
      </c>
      <c r="R47" s="160"/>
      <c r="S47" s="55"/>
    </row>
    <row r="48" spans="1:19" ht="30" customHeight="1" x14ac:dyDescent="0.25">
      <c r="A48" s="4"/>
      <c r="B48" s="155"/>
      <c r="C48" s="170"/>
      <c r="D48" s="814"/>
      <c r="E48" s="213"/>
      <c r="F48" s="181" t="s">
        <v>1303</v>
      </c>
      <c r="G48" s="792"/>
      <c r="H48" s="182" t="s">
        <v>992</v>
      </c>
      <c r="I48" s="183" t="s">
        <v>1357</v>
      </c>
      <c r="J48" s="192">
        <f ca="1">NISTMap!M41</f>
        <v>0</v>
      </c>
      <c r="K48" s="188">
        <f>NISTMap!O41</f>
        <v>6</v>
      </c>
      <c r="L48" s="193">
        <f ca="1">NISTMap!P41</f>
        <v>0</v>
      </c>
      <c r="M48" s="194">
        <f>NISTMap!R41</f>
        <v>2</v>
      </c>
      <c r="N48" s="193">
        <f ca="1">NISTMap!S41</f>
        <v>0</v>
      </c>
      <c r="O48" s="195">
        <f>NISTMap!U41</f>
        <v>2</v>
      </c>
      <c r="P48" s="193">
        <f ca="1">NISTMap!V41</f>
        <v>0</v>
      </c>
      <c r="Q48" s="196">
        <f>NISTMap!X41</f>
        <v>2</v>
      </c>
      <c r="R48" s="160"/>
      <c r="S48" s="55"/>
    </row>
    <row r="49" spans="1:19" ht="30" customHeight="1" x14ac:dyDescent="0.25">
      <c r="A49" s="4"/>
      <c r="B49" s="155"/>
      <c r="C49" s="170"/>
      <c r="D49" s="814"/>
      <c r="E49" s="214"/>
      <c r="F49" s="185" t="s">
        <v>1303</v>
      </c>
      <c r="G49" s="794"/>
      <c r="H49" s="186" t="s">
        <v>993</v>
      </c>
      <c r="I49" s="187" t="s">
        <v>1358</v>
      </c>
      <c r="J49" s="202">
        <f ca="1">NISTMap!M42</f>
        <v>0</v>
      </c>
      <c r="K49" s="190">
        <f>NISTMap!O42</f>
        <v>6</v>
      </c>
      <c r="L49" s="203">
        <f ca="1">NISTMap!P42</f>
        <v>0</v>
      </c>
      <c r="M49" s="204">
        <f>NISTMap!R42</f>
        <v>2</v>
      </c>
      <c r="N49" s="203">
        <f ca="1">NISTMap!S42</f>
        <v>0</v>
      </c>
      <c r="O49" s="205">
        <f>NISTMap!U42</f>
        <v>2</v>
      </c>
      <c r="P49" s="203">
        <f ca="1">NISTMap!V42</f>
        <v>0</v>
      </c>
      <c r="Q49" s="206">
        <f>NISTMap!X42</f>
        <v>2</v>
      </c>
      <c r="R49" s="160"/>
      <c r="S49" s="55"/>
    </row>
    <row r="50" spans="1:19" ht="30" customHeight="1" x14ac:dyDescent="0.25">
      <c r="A50" s="4"/>
      <c r="B50" s="155"/>
      <c r="C50" s="170"/>
      <c r="D50" s="814"/>
      <c r="E50" s="180" t="s">
        <v>1259</v>
      </c>
      <c r="F50" s="181" t="s">
        <v>1359</v>
      </c>
      <c r="G50" s="792" t="s">
        <v>1360</v>
      </c>
      <c r="H50" s="182" t="s">
        <v>1127</v>
      </c>
      <c r="I50" s="183" t="s">
        <v>1361</v>
      </c>
      <c r="J50" s="192">
        <f ca="1">NISTMap!M43</f>
        <v>0</v>
      </c>
      <c r="K50" s="188">
        <f>NISTMap!O43</f>
        <v>6</v>
      </c>
      <c r="L50" s="193">
        <f ca="1">NISTMap!P43</f>
        <v>0</v>
      </c>
      <c r="M50" s="194">
        <f>NISTMap!R43</f>
        <v>3</v>
      </c>
      <c r="N50" s="193">
        <f ca="1">NISTMap!S43</f>
        <v>0</v>
      </c>
      <c r="O50" s="195">
        <f>NISTMap!U43</f>
        <v>2</v>
      </c>
      <c r="P50" s="193">
        <f ca="1">NISTMap!V43</f>
        <v>0</v>
      </c>
      <c r="Q50" s="196">
        <f>NISTMap!X43</f>
        <v>1</v>
      </c>
      <c r="R50" s="160"/>
      <c r="S50" s="55"/>
    </row>
    <row r="51" spans="1:19" ht="30" customHeight="1" x14ac:dyDescent="0.25">
      <c r="A51" s="4"/>
      <c r="B51" s="155"/>
      <c r="C51" s="170"/>
      <c r="D51" s="814"/>
      <c r="E51" s="180"/>
      <c r="F51" s="181" t="s">
        <v>1303</v>
      </c>
      <c r="G51" s="792"/>
      <c r="H51" s="182" t="s">
        <v>1130</v>
      </c>
      <c r="I51" s="183" t="s">
        <v>1362</v>
      </c>
      <c r="J51" s="192">
        <f ca="1">NISTMap!M44</f>
        <v>0</v>
      </c>
      <c r="K51" s="188">
        <f>NISTMap!O44</f>
        <v>6</v>
      </c>
      <c r="L51" s="193">
        <f ca="1">NISTMap!P44</f>
        <v>0</v>
      </c>
      <c r="M51" s="194">
        <f>NISTMap!R44</f>
        <v>3</v>
      </c>
      <c r="N51" s="193">
        <f ca="1">NISTMap!S44</f>
        <v>0</v>
      </c>
      <c r="O51" s="195">
        <f>NISTMap!U44</f>
        <v>2</v>
      </c>
      <c r="P51" s="193">
        <f ca="1">NISTMap!V44</f>
        <v>0</v>
      </c>
      <c r="Q51" s="196">
        <f>NISTMap!X44</f>
        <v>1</v>
      </c>
      <c r="R51" s="160"/>
      <c r="S51" s="55"/>
    </row>
    <row r="52" spans="1:19" ht="30" customHeight="1" x14ac:dyDescent="0.25">
      <c r="A52" s="4"/>
      <c r="B52" s="155"/>
      <c r="C52" s="170"/>
      <c r="D52" s="814"/>
      <c r="E52" s="180"/>
      <c r="F52" s="181" t="s">
        <v>1303</v>
      </c>
      <c r="G52" s="792"/>
      <c r="H52" s="182" t="s">
        <v>994</v>
      </c>
      <c r="I52" s="183" t="s">
        <v>1363</v>
      </c>
      <c r="J52" s="192">
        <f ca="1">NISTMap!M45</f>
        <v>0</v>
      </c>
      <c r="K52" s="188">
        <f>NISTMap!O45</f>
        <v>8</v>
      </c>
      <c r="L52" s="193">
        <f ca="1">NISTMap!P45</f>
        <v>0</v>
      </c>
      <c r="M52" s="194">
        <f>NISTMap!R45</f>
        <v>2</v>
      </c>
      <c r="N52" s="193">
        <f ca="1">NISTMap!S45</f>
        <v>0</v>
      </c>
      <c r="O52" s="195">
        <f>NISTMap!U45</f>
        <v>4</v>
      </c>
      <c r="P52" s="193">
        <f ca="1">NISTMap!V45</f>
        <v>0</v>
      </c>
      <c r="Q52" s="196">
        <f>NISTMap!X45</f>
        <v>2</v>
      </c>
      <c r="R52" s="160"/>
      <c r="S52" s="55"/>
    </row>
    <row r="53" spans="1:19" ht="30" customHeight="1" x14ac:dyDescent="0.25">
      <c r="A53" s="4"/>
      <c r="B53" s="155"/>
      <c r="C53" s="170"/>
      <c r="D53" s="814"/>
      <c r="E53" s="180"/>
      <c r="F53" s="181" t="s">
        <v>1303</v>
      </c>
      <c r="G53" s="792"/>
      <c r="H53" s="182" t="s">
        <v>1139</v>
      </c>
      <c r="I53" s="183" t="s">
        <v>1364</v>
      </c>
      <c r="J53" s="192">
        <f ca="1">NISTMap!M46</f>
        <v>0</v>
      </c>
      <c r="K53" s="188">
        <f>NISTMap!O46</f>
        <v>5</v>
      </c>
      <c r="L53" s="193">
        <f ca="1">NISTMap!P46</f>
        <v>0</v>
      </c>
      <c r="M53" s="194">
        <f>NISTMap!R46</f>
        <v>2</v>
      </c>
      <c r="N53" s="193">
        <f ca="1">NISTMap!S46</f>
        <v>0</v>
      </c>
      <c r="O53" s="195">
        <f>NISTMap!U46</f>
        <v>2</v>
      </c>
      <c r="P53" s="193">
        <f ca="1">NISTMap!V46</f>
        <v>0</v>
      </c>
      <c r="Q53" s="196">
        <f>NISTMap!X46</f>
        <v>1</v>
      </c>
      <c r="R53" s="160"/>
      <c r="S53" s="55"/>
    </row>
    <row r="54" spans="1:19" ht="30" customHeight="1" x14ac:dyDescent="0.25">
      <c r="A54" s="4"/>
      <c r="B54" s="155"/>
      <c r="C54" s="170"/>
      <c r="D54" s="814"/>
      <c r="E54" s="180"/>
      <c r="F54" s="181" t="s">
        <v>1303</v>
      </c>
      <c r="G54" s="792"/>
      <c r="H54" s="182" t="s">
        <v>1140</v>
      </c>
      <c r="I54" s="183" t="s">
        <v>1365</v>
      </c>
      <c r="J54" s="192">
        <f ca="1">NISTMap!M47</f>
        <v>0</v>
      </c>
      <c r="K54" s="188">
        <f>NISTMap!O47</f>
        <v>10</v>
      </c>
      <c r="L54" s="193">
        <f ca="1">NISTMap!P47</f>
        <v>0</v>
      </c>
      <c r="M54" s="194">
        <f>NISTMap!R47</f>
        <v>4</v>
      </c>
      <c r="N54" s="193">
        <f ca="1">NISTMap!S47</f>
        <v>0</v>
      </c>
      <c r="O54" s="195">
        <f>NISTMap!U47</f>
        <v>3</v>
      </c>
      <c r="P54" s="193">
        <f ca="1">NISTMap!V47</f>
        <v>0</v>
      </c>
      <c r="Q54" s="196">
        <f>NISTMap!X47</f>
        <v>3</v>
      </c>
      <c r="R54" s="160"/>
      <c r="S54" s="55"/>
    </row>
    <row r="55" spans="1:19" ht="30" customHeight="1" x14ac:dyDescent="0.25">
      <c r="A55" s="4"/>
      <c r="B55" s="155"/>
      <c r="C55" s="170"/>
      <c r="D55" s="814"/>
      <c r="E55" s="180"/>
      <c r="F55" s="181" t="s">
        <v>1303</v>
      </c>
      <c r="G55" s="792"/>
      <c r="H55" s="182" t="s">
        <v>1142</v>
      </c>
      <c r="I55" s="183" t="s">
        <v>1366</v>
      </c>
      <c r="J55" s="192">
        <f ca="1">NISTMap!M48</f>
        <v>0</v>
      </c>
      <c r="K55" s="188">
        <f>NISTMap!O48</f>
        <v>4</v>
      </c>
      <c r="L55" s="193">
        <f>NISTMap!P48</f>
        <v>0</v>
      </c>
      <c r="M55" s="194">
        <f>NISTMap!R48</f>
        <v>0</v>
      </c>
      <c r="N55" s="193">
        <f ca="1">NISTMap!S48</f>
        <v>0</v>
      </c>
      <c r="O55" s="195">
        <f>NISTMap!U48</f>
        <v>1</v>
      </c>
      <c r="P55" s="193">
        <f ca="1">NISTMap!V48</f>
        <v>0</v>
      </c>
      <c r="Q55" s="196">
        <f>NISTMap!X48</f>
        <v>3</v>
      </c>
      <c r="R55" s="160"/>
      <c r="S55" s="55"/>
    </row>
    <row r="56" spans="1:19" ht="30" customHeight="1" x14ac:dyDescent="0.25">
      <c r="A56" s="4"/>
      <c r="B56" s="155"/>
      <c r="C56" s="170"/>
      <c r="D56" s="814"/>
      <c r="E56" s="180"/>
      <c r="F56" s="181" t="s">
        <v>1303</v>
      </c>
      <c r="G56" s="792"/>
      <c r="H56" s="182" t="s">
        <v>1145</v>
      </c>
      <c r="I56" s="183" t="s">
        <v>1367</v>
      </c>
      <c r="J56" s="192">
        <f ca="1">NISTMap!M49</f>
        <v>0</v>
      </c>
      <c r="K56" s="188">
        <f>NISTMap!O49</f>
        <v>2</v>
      </c>
      <c r="L56" s="193">
        <f>NISTMap!P49</f>
        <v>0</v>
      </c>
      <c r="M56" s="194">
        <f>NISTMap!R49</f>
        <v>0</v>
      </c>
      <c r="N56" s="193">
        <f ca="1">NISTMap!S49</f>
        <v>0</v>
      </c>
      <c r="O56" s="195">
        <f>NISTMap!U49</f>
        <v>1</v>
      </c>
      <c r="P56" s="193">
        <f ca="1">NISTMap!V49</f>
        <v>0</v>
      </c>
      <c r="Q56" s="196">
        <f>NISTMap!X49</f>
        <v>1</v>
      </c>
      <c r="R56" s="160"/>
      <c r="S56" s="55"/>
    </row>
    <row r="57" spans="1:19" ht="30" customHeight="1" x14ac:dyDescent="0.25">
      <c r="A57" s="4"/>
      <c r="B57" s="155"/>
      <c r="C57" s="170"/>
      <c r="D57" s="814"/>
      <c r="E57" s="180"/>
      <c r="F57" s="181" t="s">
        <v>1303</v>
      </c>
      <c r="G57" s="792"/>
      <c r="H57" s="182" t="s">
        <v>1260</v>
      </c>
      <c r="I57" s="183" t="s">
        <v>1368</v>
      </c>
      <c r="J57" s="192">
        <f>NISTMap!M50</f>
        <v>0</v>
      </c>
      <c r="K57" s="188">
        <f>NISTMap!O50</f>
        <v>0</v>
      </c>
      <c r="L57" s="193">
        <f>NISTMap!P50</f>
        <v>0</v>
      </c>
      <c r="M57" s="194">
        <f>NISTMap!R50</f>
        <v>0</v>
      </c>
      <c r="N57" s="193">
        <f>NISTMap!S50</f>
        <v>0</v>
      </c>
      <c r="O57" s="195">
        <f>NISTMap!U50</f>
        <v>0</v>
      </c>
      <c r="P57" s="193">
        <f>NISTMap!V50</f>
        <v>0</v>
      </c>
      <c r="Q57" s="196">
        <f>NISTMap!X50</f>
        <v>0</v>
      </c>
      <c r="R57" s="160"/>
      <c r="S57" s="55"/>
    </row>
    <row r="58" spans="1:19" ht="45" customHeight="1" x14ac:dyDescent="0.25">
      <c r="A58" s="4"/>
      <c r="B58" s="155"/>
      <c r="C58" s="170"/>
      <c r="D58" s="814"/>
      <c r="E58" s="212" t="s">
        <v>1261</v>
      </c>
      <c r="F58" s="177" t="s">
        <v>1369</v>
      </c>
      <c r="G58" s="793" t="s">
        <v>1370</v>
      </c>
      <c r="H58" s="178" t="s">
        <v>1152</v>
      </c>
      <c r="I58" s="179" t="s">
        <v>1371</v>
      </c>
      <c r="J58" s="197">
        <f ca="1">NISTMap!M51</f>
        <v>0</v>
      </c>
      <c r="K58" s="189">
        <f>NISTMap!O51</f>
        <v>6</v>
      </c>
      <c r="L58" s="198">
        <f ca="1">NISTMap!P51</f>
        <v>0</v>
      </c>
      <c r="M58" s="199">
        <f>NISTMap!R51</f>
        <v>2</v>
      </c>
      <c r="N58" s="198">
        <f ca="1">NISTMap!S51</f>
        <v>0</v>
      </c>
      <c r="O58" s="200">
        <f>NISTMap!U51</f>
        <v>1</v>
      </c>
      <c r="P58" s="198">
        <f ca="1">NISTMap!V51</f>
        <v>0</v>
      </c>
      <c r="Q58" s="201">
        <f>NISTMap!X51</f>
        <v>3</v>
      </c>
      <c r="R58" s="160"/>
      <c r="S58" s="55"/>
    </row>
    <row r="59" spans="1:19" ht="30" customHeight="1" x14ac:dyDescent="0.25">
      <c r="A59" s="4"/>
      <c r="B59" s="155"/>
      <c r="C59" s="170"/>
      <c r="D59" s="814"/>
      <c r="E59" s="213"/>
      <c r="F59" s="181" t="s">
        <v>1303</v>
      </c>
      <c r="G59" s="792"/>
      <c r="H59" s="182" t="s">
        <v>1155</v>
      </c>
      <c r="I59" s="183" t="s">
        <v>1372</v>
      </c>
      <c r="J59" s="192">
        <f ca="1">NISTMap!M52</f>
        <v>0</v>
      </c>
      <c r="K59" s="188">
        <f>NISTMap!O52</f>
        <v>1</v>
      </c>
      <c r="L59" s="193">
        <f>NISTMap!P52</f>
        <v>0</v>
      </c>
      <c r="M59" s="194">
        <f>NISTMap!R52</f>
        <v>0</v>
      </c>
      <c r="N59" s="193">
        <f ca="1">NISTMap!S52</f>
        <v>0</v>
      </c>
      <c r="O59" s="195">
        <f>NISTMap!U52</f>
        <v>1</v>
      </c>
      <c r="P59" s="193">
        <f>NISTMap!V52</f>
        <v>0</v>
      </c>
      <c r="Q59" s="196">
        <f>NISTMap!X52</f>
        <v>0</v>
      </c>
      <c r="R59" s="160"/>
      <c r="S59" s="55"/>
    </row>
    <row r="60" spans="1:19" ht="30" customHeight="1" x14ac:dyDescent="0.25">
      <c r="A60" s="4"/>
      <c r="B60" s="155"/>
      <c r="C60" s="170"/>
      <c r="D60" s="814"/>
      <c r="E60" s="213"/>
      <c r="F60" s="181" t="s">
        <v>1303</v>
      </c>
      <c r="G60" s="792"/>
      <c r="H60" s="182" t="s">
        <v>1156</v>
      </c>
      <c r="I60" s="183" t="s">
        <v>1373</v>
      </c>
      <c r="J60" s="192">
        <f ca="1">NISTMap!M53</f>
        <v>0</v>
      </c>
      <c r="K60" s="188">
        <f>NISTMap!O53</f>
        <v>9</v>
      </c>
      <c r="L60" s="193">
        <f ca="1">NISTMap!P53</f>
        <v>0</v>
      </c>
      <c r="M60" s="194">
        <f>NISTMap!R53</f>
        <v>2</v>
      </c>
      <c r="N60" s="193">
        <f ca="1">NISTMap!S53</f>
        <v>0</v>
      </c>
      <c r="O60" s="195">
        <f>NISTMap!U53</f>
        <v>3</v>
      </c>
      <c r="P60" s="193">
        <f ca="1">NISTMap!V53</f>
        <v>0</v>
      </c>
      <c r="Q60" s="196">
        <f>NISTMap!X53</f>
        <v>4</v>
      </c>
      <c r="R60" s="160"/>
      <c r="S60" s="55"/>
    </row>
    <row r="61" spans="1:19" ht="30" customHeight="1" x14ac:dyDescent="0.25">
      <c r="A61" s="4"/>
      <c r="B61" s="155"/>
      <c r="C61" s="170"/>
      <c r="D61" s="814"/>
      <c r="E61" s="213"/>
      <c r="F61" s="181" t="s">
        <v>1303</v>
      </c>
      <c r="G61" s="792"/>
      <c r="H61" s="182" t="s">
        <v>1157</v>
      </c>
      <c r="I61" s="183" t="s">
        <v>1374</v>
      </c>
      <c r="J61" s="192">
        <f ca="1">NISTMap!M54</f>
        <v>0</v>
      </c>
      <c r="K61" s="188">
        <f>NISTMap!O54</f>
        <v>8</v>
      </c>
      <c r="L61" s="193">
        <f ca="1">NISTMap!P54</f>
        <v>0</v>
      </c>
      <c r="M61" s="194">
        <f>NISTMap!R54</f>
        <v>1</v>
      </c>
      <c r="N61" s="193">
        <f ca="1">NISTMap!S54</f>
        <v>0</v>
      </c>
      <c r="O61" s="195">
        <f>NISTMap!U54</f>
        <v>5</v>
      </c>
      <c r="P61" s="193">
        <f ca="1">NISTMap!V54</f>
        <v>0</v>
      </c>
      <c r="Q61" s="196">
        <f>NISTMap!X54</f>
        <v>2</v>
      </c>
      <c r="R61" s="160"/>
      <c r="S61" s="55"/>
    </row>
    <row r="62" spans="1:19" ht="30" customHeight="1" x14ac:dyDescent="0.25">
      <c r="A62" s="4"/>
      <c r="B62" s="155"/>
      <c r="C62" s="170"/>
      <c r="D62" s="814"/>
      <c r="E62" s="213"/>
      <c r="F62" s="181" t="s">
        <v>1303</v>
      </c>
      <c r="G62" s="792"/>
      <c r="H62" s="182" t="s">
        <v>995</v>
      </c>
      <c r="I62" s="183" t="s">
        <v>1375</v>
      </c>
      <c r="J62" s="192">
        <f ca="1">NISTMap!M55</f>
        <v>0</v>
      </c>
      <c r="K62" s="188">
        <f>NISTMap!O55</f>
        <v>1</v>
      </c>
      <c r="L62" s="193">
        <f>NISTMap!P55</f>
        <v>0</v>
      </c>
      <c r="M62" s="194">
        <f>NISTMap!R55</f>
        <v>0</v>
      </c>
      <c r="N62" s="193">
        <f>NISTMap!S55</f>
        <v>0</v>
      </c>
      <c r="O62" s="195">
        <f>NISTMap!U55</f>
        <v>0</v>
      </c>
      <c r="P62" s="193">
        <f ca="1">NISTMap!V55</f>
        <v>0</v>
      </c>
      <c r="Q62" s="196">
        <f>NISTMap!X55</f>
        <v>1</v>
      </c>
      <c r="R62" s="160"/>
      <c r="S62" s="55"/>
    </row>
    <row r="63" spans="1:19" ht="30" customHeight="1" x14ac:dyDescent="0.25">
      <c r="A63" s="4"/>
      <c r="B63" s="155"/>
      <c r="C63" s="170"/>
      <c r="D63" s="814"/>
      <c r="E63" s="213"/>
      <c r="F63" s="181" t="s">
        <v>1303</v>
      </c>
      <c r="G63" s="792"/>
      <c r="H63" s="182" t="s">
        <v>1158</v>
      </c>
      <c r="I63" s="183" t="s">
        <v>1376</v>
      </c>
      <c r="J63" s="192">
        <f ca="1">NISTMap!M56</f>
        <v>0</v>
      </c>
      <c r="K63" s="188">
        <f>NISTMap!O56</f>
        <v>1</v>
      </c>
      <c r="L63" s="193">
        <f>NISTMap!P56</f>
        <v>0</v>
      </c>
      <c r="M63" s="194">
        <f>NISTMap!R56</f>
        <v>0</v>
      </c>
      <c r="N63" s="193">
        <f ca="1">NISTMap!S56</f>
        <v>0</v>
      </c>
      <c r="O63" s="195">
        <f>NISTMap!U56</f>
        <v>1</v>
      </c>
      <c r="P63" s="193">
        <f>NISTMap!V56</f>
        <v>0</v>
      </c>
      <c r="Q63" s="196">
        <f>NISTMap!X56</f>
        <v>0</v>
      </c>
      <c r="R63" s="160"/>
      <c r="S63" s="55"/>
    </row>
    <row r="64" spans="1:19" ht="30" customHeight="1" x14ac:dyDescent="0.25">
      <c r="A64" s="4"/>
      <c r="B64" s="155"/>
      <c r="C64" s="170"/>
      <c r="D64" s="814"/>
      <c r="E64" s="213"/>
      <c r="F64" s="181" t="s">
        <v>1303</v>
      </c>
      <c r="G64" s="792"/>
      <c r="H64" s="182" t="s">
        <v>1159</v>
      </c>
      <c r="I64" s="183" t="s">
        <v>1377</v>
      </c>
      <c r="J64" s="192">
        <f ca="1">NISTMap!M57</f>
        <v>0</v>
      </c>
      <c r="K64" s="188">
        <f>NISTMap!O57</f>
        <v>2</v>
      </c>
      <c r="L64" s="193">
        <f>NISTMap!P57</f>
        <v>0</v>
      </c>
      <c r="M64" s="194">
        <f>NISTMap!R57</f>
        <v>0</v>
      </c>
      <c r="N64" s="193">
        <f>NISTMap!S57</f>
        <v>0</v>
      </c>
      <c r="O64" s="195">
        <f>NISTMap!U57</f>
        <v>0</v>
      </c>
      <c r="P64" s="193">
        <f ca="1">NISTMap!V57</f>
        <v>0</v>
      </c>
      <c r="Q64" s="196">
        <f>NISTMap!X57</f>
        <v>2</v>
      </c>
      <c r="R64" s="160"/>
      <c r="S64" s="55"/>
    </row>
    <row r="65" spans="1:19" ht="30" customHeight="1" x14ac:dyDescent="0.25">
      <c r="A65" s="4"/>
      <c r="B65" s="155"/>
      <c r="C65" s="170"/>
      <c r="D65" s="814"/>
      <c r="E65" s="213"/>
      <c r="F65" s="181" t="s">
        <v>1303</v>
      </c>
      <c r="G65" s="792"/>
      <c r="H65" s="182" t="s">
        <v>1161</v>
      </c>
      <c r="I65" s="183" t="s">
        <v>1378</v>
      </c>
      <c r="J65" s="192">
        <f ca="1">NISTMap!M58</f>
        <v>0</v>
      </c>
      <c r="K65" s="188">
        <f>NISTMap!O58</f>
        <v>6</v>
      </c>
      <c r="L65" s="193">
        <f ca="1">NISTMap!P58</f>
        <v>0</v>
      </c>
      <c r="M65" s="194">
        <f>NISTMap!R58</f>
        <v>2</v>
      </c>
      <c r="N65" s="193">
        <f ca="1">NISTMap!S58</f>
        <v>0</v>
      </c>
      <c r="O65" s="195">
        <f>NISTMap!U58</f>
        <v>2</v>
      </c>
      <c r="P65" s="193">
        <f ca="1">NISTMap!V58</f>
        <v>0</v>
      </c>
      <c r="Q65" s="196">
        <f>NISTMap!X58</f>
        <v>2</v>
      </c>
      <c r="R65" s="160"/>
      <c r="S65" s="55"/>
    </row>
    <row r="66" spans="1:19" ht="45" customHeight="1" x14ac:dyDescent="0.25">
      <c r="A66" s="4"/>
      <c r="B66" s="155"/>
      <c r="C66" s="170"/>
      <c r="D66" s="814"/>
      <c r="E66" s="213"/>
      <c r="F66" s="181" t="s">
        <v>1303</v>
      </c>
      <c r="G66" s="792"/>
      <c r="H66" s="182" t="s">
        <v>1162</v>
      </c>
      <c r="I66" s="183" t="s">
        <v>1379</v>
      </c>
      <c r="J66" s="192">
        <f ca="1">NISTMap!M59</f>
        <v>0</v>
      </c>
      <c r="K66" s="188">
        <f>NISTMap!O59</f>
        <v>15</v>
      </c>
      <c r="L66" s="193">
        <f ca="1">NISTMap!P59</f>
        <v>0</v>
      </c>
      <c r="M66" s="194">
        <f>NISTMap!R59</f>
        <v>1</v>
      </c>
      <c r="N66" s="193">
        <f ca="1">NISTMap!S59</f>
        <v>0</v>
      </c>
      <c r="O66" s="195">
        <f>NISTMap!U59</f>
        <v>10</v>
      </c>
      <c r="P66" s="193">
        <f ca="1">NISTMap!V59</f>
        <v>0</v>
      </c>
      <c r="Q66" s="196">
        <f>NISTMap!X59</f>
        <v>4</v>
      </c>
      <c r="R66" s="160"/>
      <c r="S66" s="55"/>
    </row>
    <row r="67" spans="1:19" ht="30" customHeight="1" x14ac:dyDescent="0.25">
      <c r="A67" s="4"/>
      <c r="B67" s="155"/>
      <c r="C67" s="170"/>
      <c r="D67" s="814"/>
      <c r="E67" s="214"/>
      <c r="F67" s="185" t="s">
        <v>1303</v>
      </c>
      <c r="G67" s="794"/>
      <c r="H67" s="186" t="s">
        <v>1170</v>
      </c>
      <c r="I67" s="187" t="s">
        <v>1380</v>
      </c>
      <c r="J67" s="202">
        <f ca="1">NISTMap!M60</f>
        <v>0</v>
      </c>
      <c r="K67" s="190">
        <f>NISTMap!O60</f>
        <v>6</v>
      </c>
      <c r="L67" s="203">
        <f>NISTMap!P60</f>
        <v>0</v>
      </c>
      <c r="M67" s="204">
        <f>NISTMap!R60</f>
        <v>0</v>
      </c>
      <c r="N67" s="203">
        <f ca="1">NISTMap!S60</f>
        <v>0</v>
      </c>
      <c r="O67" s="205">
        <f>NISTMap!U60</f>
        <v>2</v>
      </c>
      <c r="P67" s="203">
        <f ca="1">NISTMap!V60</f>
        <v>0</v>
      </c>
      <c r="Q67" s="206">
        <f>NISTMap!X60</f>
        <v>4</v>
      </c>
      <c r="R67" s="160"/>
      <c r="S67" s="55"/>
    </row>
    <row r="68" spans="1:19" ht="30" customHeight="1" x14ac:dyDescent="0.25">
      <c r="A68" s="4"/>
      <c r="B68" s="155"/>
      <c r="C68" s="170"/>
      <c r="D68" s="814"/>
      <c r="E68" s="180"/>
      <c r="F68" s="181" t="s">
        <v>1303</v>
      </c>
      <c r="G68" s="792"/>
      <c r="H68" s="182" t="s">
        <v>996</v>
      </c>
      <c r="I68" s="183" t="s">
        <v>1381</v>
      </c>
      <c r="J68" s="192">
        <f ca="1">NISTMap!M61</f>
        <v>0</v>
      </c>
      <c r="K68" s="188">
        <f>NISTMap!O61</f>
        <v>6</v>
      </c>
      <c r="L68" s="193">
        <f ca="1">NISTMap!P61</f>
        <v>0</v>
      </c>
      <c r="M68" s="194">
        <f>NISTMap!R61</f>
        <v>2</v>
      </c>
      <c r="N68" s="193">
        <f ca="1">NISTMap!S61</f>
        <v>0</v>
      </c>
      <c r="O68" s="195">
        <f>NISTMap!U61</f>
        <v>2</v>
      </c>
      <c r="P68" s="193">
        <f ca="1">NISTMap!V61</f>
        <v>0</v>
      </c>
      <c r="Q68" s="196">
        <f>NISTMap!X61</f>
        <v>2</v>
      </c>
      <c r="R68" s="160"/>
      <c r="S68" s="55"/>
    </row>
    <row r="69" spans="1:19" ht="30" customHeight="1" x14ac:dyDescent="0.25">
      <c r="A69" s="4"/>
      <c r="B69" s="155"/>
      <c r="C69" s="170"/>
      <c r="D69" s="814"/>
      <c r="E69" s="180"/>
      <c r="F69" s="181" t="s">
        <v>1303</v>
      </c>
      <c r="G69" s="792"/>
      <c r="H69" s="182" t="s">
        <v>1176</v>
      </c>
      <c r="I69" s="183" t="s">
        <v>1382</v>
      </c>
      <c r="J69" s="192">
        <f ca="1">NISTMap!M62</f>
        <v>0</v>
      </c>
      <c r="K69" s="188">
        <f>NISTMap!O62</f>
        <v>3</v>
      </c>
      <c r="L69" s="193">
        <f>NISTMap!P62</f>
        <v>0</v>
      </c>
      <c r="M69" s="194">
        <f>NISTMap!R62</f>
        <v>0</v>
      </c>
      <c r="N69" s="193">
        <f ca="1">NISTMap!S62</f>
        <v>0</v>
      </c>
      <c r="O69" s="195">
        <f>NISTMap!U62</f>
        <v>1</v>
      </c>
      <c r="P69" s="193">
        <f ca="1">NISTMap!V62</f>
        <v>0</v>
      </c>
      <c r="Q69" s="196">
        <f>NISTMap!X62</f>
        <v>2</v>
      </c>
      <c r="R69" s="160"/>
      <c r="S69" s="55"/>
    </row>
    <row r="70" spans="1:19" ht="30" customHeight="1" x14ac:dyDescent="0.25">
      <c r="A70" s="4"/>
      <c r="B70" s="155"/>
      <c r="C70" s="170"/>
      <c r="D70" s="814"/>
      <c r="E70" s="180" t="s">
        <v>1262</v>
      </c>
      <c r="F70" s="181" t="s">
        <v>1383</v>
      </c>
      <c r="G70" s="792" t="s">
        <v>1384</v>
      </c>
      <c r="H70" s="182" t="s">
        <v>1179</v>
      </c>
      <c r="I70" s="183" t="s">
        <v>1385</v>
      </c>
      <c r="J70" s="192">
        <f ca="1">NISTMap!M63</f>
        <v>0</v>
      </c>
      <c r="K70" s="188">
        <f>NISTMap!O63</f>
        <v>3</v>
      </c>
      <c r="L70" s="193">
        <f ca="1">NISTMap!P63</f>
        <v>0</v>
      </c>
      <c r="M70" s="194">
        <f>NISTMap!R63</f>
        <v>1</v>
      </c>
      <c r="N70" s="193">
        <f ca="1">NISTMap!S63</f>
        <v>0</v>
      </c>
      <c r="O70" s="195">
        <f>NISTMap!U63</f>
        <v>1</v>
      </c>
      <c r="P70" s="193">
        <f ca="1">NISTMap!V63</f>
        <v>0</v>
      </c>
      <c r="Q70" s="196">
        <f>NISTMap!X63</f>
        <v>1</v>
      </c>
      <c r="R70" s="160"/>
      <c r="S70" s="55"/>
    </row>
    <row r="71" spans="1:19" ht="45" customHeight="1" x14ac:dyDescent="0.25">
      <c r="A71" s="4"/>
      <c r="B71" s="155"/>
      <c r="C71" s="170"/>
      <c r="D71" s="814"/>
      <c r="E71" s="180"/>
      <c r="F71" s="181" t="s">
        <v>1303</v>
      </c>
      <c r="G71" s="792"/>
      <c r="H71" s="182" t="s">
        <v>997</v>
      </c>
      <c r="I71" s="183" t="s">
        <v>1386</v>
      </c>
      <c r="J71" s="192">
        <f ca="1">NISTMap!M64</f>
        <v>0</v>
      </c>
      <c r="K71" s="188">
        <f>NISTMap!O64</f>
        <v>8</v>
      </c>
      <c r="L71" s="193">
        <f ca="1">NISTMap!P64</f>
        <v>0</v>
      </c>
      <c r="M71" s="194">
        <f>NISTMap!R64</f>
        <v>4</v>
      </c>
      <c r="N71" s="193">
        <f ca="1">NISTMap!S64</f>
        <v>0</v>
      </c>
      <c r="O71" s="195">
        <f>NISTMap!U64</f>
        <v>3</v>
      </c>
      <c r="P71" s="193">
        <f ca="1">NISTMap!V64</f>
        <v>0</v>
      </c>
      <c r="Q71" s="196">
        <f>NISTMap!X64</f>
        <v>1</v>
      </c>
      <c r="R71" s="160"/>
      <c r="S71" s="55"/>
    </row>
    <row r="72" spans="1:19" ht="30" customHeight="1" x14ac:dyDescent="0.25">
      <c r="A72" s="4"/>
      <c r="B72" s="155"/>
      <c r="C72" s="170"/>
      <c r="D72" s="814"/>
      <c r="E72" s="212" t="s">
        <v>1263</v>
      </c>
      <c r="F72" s="177" t="s">
        <v>1387</v>
      </c>
      <c r="G72" s="793" t="s">
        <v>1388</v>
      </c>
      <c r="H72" s="178" t="s">
        <v>1181</v>
      </c>
      <c r="I72" s="179" t="s">
        <v>1389</v>
      </c>
      <c r="J72" s="197">
        <f ca="1">NISTMap!M65</f>
        <v>0</v>
      </c>
      <c r="K72" s="189">
        <f>NISTMap!O65</f>
        <v>8</v>
      </c>
      <c r="L72" s="198">
        <f ca="1">NISTMap!P65</f>
        <v>0</v>
      </c>
      <c r="M72" s="199">
        <f>NISTMap!R65</f>
        <v>2</v>
      </c>
      <c r="N72" s="198">
        <f ca="1">NISTMap!S65</f>
        <v>0</v>
      </c>
      <c r="O72" s="200">
        <f>NISTMap!U65</f>
        <v>4</v>
      </c>
      <c r="P72" s="198">
        <f ca="1">NISTMap!V65</f>
        <v>0</v>
      </c>
      <c r="Q72" s="201">
        <f>NISTMap!X65</f>
        <v>2</v>
      </c>
      <c r="R72" s="160"/>
      <c r="S72" s="55"/>
    </row>
    <row r="73" spans="1:19" ht="30" customHeight="1" x14ac:dyDescent="0.25">
      <c r="A73" s="4"/>
      <c r="B73" s="155"/>
      <c r="C73" s="170"/>
      <c r="D73" s="814"/>
      <c r="E73" s="213"/>
      <c r="F73" s="181" t="s">
        <v>1303</v>
      </c>
      <c r="G73" s="792"/>
      <c r="H73" s="182" t="s">
        <v>998</v>
      </c>
      <c r="I73" s="183" t="s">
        <v>1390</v>
      </c>
      <c r="J73" s="192">
        <f ca="1">NISTMap!M66</f>
        <v>0</v>
      </c>
      <c r="K73" s="188">
        <f>NISTMap!O66</f>
        <v>4</v>
      </c>
      <c r="L73" s="193">
        <f ca="1">NISTMap!P66</f>
        <v>0</v>
      </c>
      <c r="M73" s="194">
        <f>NISTMap!R66</f>
        <v>3</v>
      </c>
      <c r="N73" s="193">
        <f>NISTMap!S66</f>
        <v>0</v>
      </c>
      <c r="O73" s="195">
        <f>NISTMap!U66</f>
        <v>0</v>
      </c>
      <c r="P73" s="193">
        <f ca="1">NISTMap!V66</f>
        <v>0</v>
      </c>
      <c r="Q73" s="196">
        <f>NISTMap!X66</f>
        <v>1</v>
      </c>
      <c r="R73" s="160"/>
      <c r="S73" s="55"/>
    </row>
    <row r="74" spans="1:19" ht="30" customHeight="1" x14ac:dyDescent="0.25">
      <c r="A74" s="4"/>
      <c r="B74" s="155"/>
      <c r="C74" s="170"/>
      <c r="D74" s="814"/>
      <c r="E74" s="213"/>
      <c r="F74" s="181" t="s">
        <v>1303</v>
      </c>
      <c r="G74" s="792"/>
      <c r="H74" s="182" t="s">
        <v>999</v>
      </c>
      <c r="I74" s="183" t="s">
        <v>1391</v>
      </c>
      <c r="J74" s="192">
        <f ca="1">NISTMap!M67</f>
        <v>0</v>
      </c>
      <c r="K74" s="188">
        <f>NISTMap!O67</f>
        <v>8</v>
      </c>
      <c r="L74" s="193">
        <f ca="1">NISTMap!P67</f>
        <v>0</v>
      </c>
      <c r="M74" s="194">
        <f>NISTMap!R67</f>
        <v>3</v>
      </c>
      <c r="N74" s="193">
        <f ca="1">NISTMap!S67</f>
        <v>0</v>
      </c>
      <c r="O74" s="195">
        <f>NISTMap!U67</f>
        <v>3</v>
      </c>
      <c r="P74" s="193">
        <f ca="1">NISTMap!V67</f>
        <v>0</v>
      </c>
      <c r="Q74" s="196">
        <f>NISTMap!X67</f>
        <v>2</v>
      </c>
      <c r="R74" s="160"/>
      <c r="S74" s="55"/>
    </row>
    <row r="75" spans="1:19" ht="30" customHeight="1" x14ac:dyDescent="0.25">
      <c r="A75" s="4"/>
      <c r="B75" s="155"/>
      <c r="C75" s="170"/>
      <c r="D75" s="814"/>
      <c r="E75" s="213"/>
      <c r="F75" s="181" t="s">
        <v>1303</v>
      </c>
      <c r="G75" s="792"/>
      <c r="H75" s="182" t="s">
        <v>1189</v>
      </c>
      <c r="I75" s="183" t="s">
        <v>1392</v>
      </c>
      <c r="J75" s="192">
        <f ca="1">NISTMap!M68</f>
        <v>0</v>
      </c>
      <c r="K75" s="188">
        <f>NISTMap!O68</f>
        <v>7</v>
      </c>
      <c r="L75" s="193">
        <f ca="1">NISTMap!P68</f>
        <v>0</v>
      </c>
      <c r="M75" s="194">
        <f>NISTMap!R68</f>
        <v>1</v>
      </c>
      <c r="N75" s="193">
        <f ca="1">NISTMap!S68</f>
        <v>0</v>
      </c>
      <c r="O75" s="195">
        <f>NISTMap!U68</f>
        <v>4</v>
      </c>
      <c r="P75" s="193">
        <f ca="1">NISTMap!V68</f>
        <v>0</v>
      </c>
      <c r="Q75" s="196">
        <f>NISTMap!X68</f>
        <v>2</v>
      </c>
      <c r="R75" s="160"/>
      <c r="S75" s="55"/>
    </row>
    <row r="76" spans="1:19" ht="45" customHeight="1" x14ac:dyDescent="0.25">
      <c r="A76" s="4"/>
      <c r="B76" s="155"/>
      <c r="C76" s="170"/>
      <c r="D76" s="814"/>
      <c r="E76" s="214"/>
      <c r="F76" s="185" t="s">
        <v>1303</v>
      </c>
      <c r="G76" s="794"/>
      <c r="H76" s="186" t="s">
        <v>1190</v>
      </c>
      <c r="I76" s="187" t="s">
        <v>1393</v>
      </c>
      <c r="J76" s="202">
        <f ca="1">NISTMap!M69</f>
        <v>0</v>
      </c>
      <c r="K76" s="190">
        <f>NISTMap!O69</f>
        <v>3</v>
      </c>
      <c r="L76" s="203">
        <f ca="1">NISTMap!P69</f>
        <v>0</v>
      </c>
      <c r="M76" s="204">
        <f>NISTMap!R69</f>
        <v>1</v>
      </c>
      <c r="N76" s="203">
        <f ca="1">NISTMap!S69</f>
        <v>0</v>
      </c>
      <c r="O76" s="205">
        <f>NISTMap!U69</f>
        <v>2</v>
      </c>
      <c r="P76" s="203">
        <f>NISTMap!V69</f>
        <v>0</v>
      </c>
      <c r="Q76" s="206">
        <f>NISTMap!X69</f>
        <v>0</v>
      </c>
      <c r="R76" s="160"/>
      <c r="S76" s="55"/>
    </row>
    <row r="77" spans="1:19" ht="30" customHeight="1" x14ac:dyDescent="0.25">
      <c r="A77" s="4"/>
      <c r="B77" s="155"/>
      <c r="C77" s="170"/>
      <c r="D77" s="810" t="s">
        <v>1394</v>
      </c>
      <c r="E77" s="172" t="s">
        <v>1264</v>
      </c>
      <c r="F77" s="173" t="s">
        <v>1395</v>
      </c>
      <c r="G77" s="803" t="s">
        <v>1396</v>
      </c>
      <c r="H77" s="174" t="s">
        <v>1191</v>
      </c>
      <c r="I77" s="175" t="s">
        <v>1397</v>
      </c>
      <c r="J77" s="197">
        <f ca="1">NISTMap!M70</f>
        <v>0</v>
      </c>
      <c r="K77" s="189">
        <f>NISTMap!O70</f>
        <v>1</v>
      </c>
      <c r="L77" s="198">
        <f ca="1">NISTMap!P70</f>
        <v>0</v>
      </c>
      <c r="M77" s="199">
        <f>NISTMap!R70</f>
        <v>1</v>
      </c>
      <c r="N77" s="198">
        <f>NISTMap!S70</f>
        <v>0</v>
      </c>
      <c r="O77" s="200">
        <f>NISTMap!U70</f>
        <v>0</v>
      </c>
      <c r="P77" s="198">
        <f>NISTMap!V70</f>
        <v>0</v>
      </c>
      <c r="Q77" s="201">
        <f>NISTMap!X70</f>
        <v>0</v>
      </c>
      <c r="R77" s="160"/>
      <c r="S77" s="55"/>
    </row>
    <row r="78" spans="1:19" ht="30" customHeight="1" x14ac:dyDescent="0.25">
      <c r="A78" s="4"/>
      <c r="B78" s="155"/>
      <c r="C78" s="170"/>
      <c r="D78" s="811"/>
      <c r="E78" s="172"/>
      <c r="F78" s="173" t="s">
        <v>1303</v>
      </c>
      <c r="G78" s="803"/>
      <c r="H78" s="174" t="s">
        <v>1192</v>
      </c>
      <c r="I78" s="175" t="s">
        <v>1398</v>
      </c>
      <c r="J78" s="192">
        <f ca="1">NISTMap!M71</f>
        <v>0</v>
      </c>
      <c r="K78" s="188">
        <f>NISTMap!O71</f>
        <v>3</v>
      </c>
      <c r="L78" s="193">
        <f>NISTMap!P71</f>
        <v>0</v>
      </c>
      <c r="M78" s="194">
        <f>NISTMap!R71</f>
        <v>0</v>
      </c>
      <c r="N78" s="193">
        <f>NISTMap!S71</f>
        <v>0</v>
      </c>
      <c r="O78" s="195">
        <f>NISTMap!U71</f>
        <v>0</v>
      </c>
      <c r="P78" s="193">
        <f ca="1">NISTMap!V71</f>
        <v>0</v>
      </c>
      <c r="Q78" s="196">
        <f>NISTMap!X71</f>
        <v>3</v>
      </c>
      <c r="R78" s="160"/>
      <c r="S78" s="55"/>
    </row>
    <row r="79" spans="1:19" ht="30" customHeight="1" x14ac:dyDescent="0.25">
      <c r="A79" s="4"/>
      <c r="B79" s="155"/>
      <c r="C79" s="170"/>
      <c r="D79" s="811"/>
      <c r="E79" s="172"/>
      <c r="F79" s="173" t="s">
        <v>1303</v>
      </c>
      <c r="G79" s="803"/>
      <c r="H79" s="174" t="s">
        <v>1196</v>
      </c>
      <c r="I79" s="175" t="s">
        <v>1399</v>
      </c>
      <c r="J79" s="192">
        <f ca="1">NISTMap!M72</f>
        <v>0</v>
      </c>
      <c r="K79" s="188">
        <f>NISTMap!O72</f>
        <v>3</v>
      </c>
      <c r="L79" s="193">
        <f>NISTMap!P72</f>
        <v>0</v>
      </c>
      <c r="M79" s="194">
        <f>NISTMap!R72</f>
        <v>0</v>
      </c>
      <c r="N79" s="193">
        <f ca="1">NISTMap!S72</f>
        <v>0</v>
      </c>
      <c r="O79" s="195">
        <f>NISTMap!U72</f>
        <v>1</v>
      </c>
      <c r="P79" s="193">
        <f ca="1">NISTMap!V72</f>
        <v>0</v>
      </c>
      <c r="Q79" s="196">
        <f>NISTMap!X72</f>
        <v>2</v>
      </c>
      <c r="R79" s="160"/>
      <c r="S79" s="55"/>
    </row>
    <row r="80" spans="1:19" ht="30" customHeight="1" x14ac:dyDescent="0.25">
      <c r="A80" s="4"/>
      <c r="B80" s="155"/>
      <c r="C80" s="170"/>
      <c r="D80" s="811"/>
      <c r="E80" s="172"/>
      <c r="F80" s="173" t="s">
        <v>1303</v>
      </c>
      <c r="G80" s="803"/>
      <c r="H80" s="174" t="s">
        <v>1198</v>
      </c>
      <c r="I80" s="175" t="s">
        <v>1400</v>
      </c>
      <c r="J80" s="192">
        <f ca="1">NISTMap!M73</f>
        <v>0</v>
      </c>
      <c r="K80" s="188">
        <f>NISTMap!O73</f>
        <v>6</v>
      </c>
      <c r="L80" s="193">
        <f ca="1">NISTMap!P73</f>
        <v>0</v>
      </c>
      <c r="M80" s="194">
        <f>NISTMap!R73</f>
        <v>1</v>
      </c>
      <c r="N80" s="193">
        <f ca="1">NISTMap!S73</f>
        <v>0</v>
      </c>
      <c r="O80" s="195">
        <f>NISTMap!U73</f>
        <v>3</v>
      </c>
      <c r="P80" s="193">
        <f ca="1">NISTMap!V73</f>
        <v>0</v>
      </c>
      <c r="Q80" s="196">
        <f>NISTMap!X73</f>
        <v>2</v>
      </c>
      <c r="R80" s="160"/>
      <c r="S80" s="55"/>
    </row>
    <row r="81" spans="1:19" ht="30" customHeight="1" x14ac:dyDescent="0.25">
      <c r="A81" s="4"/>
      <c r="B81" s="155"/>
      <c r="C81" s="170"/>
      <c r="D81" s="811"/>
      <c r="E81" s="172"/>
      <c r="F81" s="173" t="s">
        <v>1303</v>
      </c>
      <c r="G81" s="803"/>
      <c r="H81" s="174" t="s">
        <v>1202</v>
      </c>
      <c r="I81" s="175" t="s">
        <v>1401</v>
      </c>
      <c r="J81" s="192">
        <f ca="1">NISTMap!M74</f>
        <v>0</v>
      </c>
      <c r="K81" s="188">
        <f>NISTMap!O74</f>
        <v>8</v>
      </c>
      <c r="L81" s="193">
        <f ca="1">NISTMap!P74</f>
        <v>0</v>
      </c>
      <c r="M81" s="194">
        <f>NISTMap!R74</f>
        <v>1</v>
      </c>
      <c r="N81" s="193">
        <f ca="1">NISTMap!S74</f>
        <v>0</v>
      </c>
      <c r="O81" s="195">
        <f>NISTMap!U74</f>
        <v>4</v>
      </c>
      <c r="P81" s="193">
        <f ca="1">NISTMap!V74</f>
        <v>0</v>
      </c>
      <c r="Q81" s="196">
        <f>NISTMap!X74</f>
        <v>3</v>
      </c>
      <c r="R81" s="160"/>
      <c r="S81" s="55"/>
    </row>
    <row r="82" spans="1:19" ht="30" customHeight="1" x14ac:dyDescent="0.25">
      <c r="A82" s="4"/>
      <c r="B82" s="155"/>
      <c r="C82" s="170"/>
      <c r="D82" s="811"/>
      <c r="E82" s="212" t="s">
        <v>1265</v>
      </c>
      <c r="F82" s="177" t="s">
        <v>1402</v>
      </c>
      <c r="G82" s="793" t="s">
        <v>1403</v>
      </c>
      <c r="H82" s="178" t="s">
        <v>1205</v>
      </c>
      <c r="I82" s="179" t="s">
        <v>1404</v>
      </c>
      <c r="J82" s="197">
        <f ca="1">NISTMap!M75</f>
        <v>0</v>
      </c>
      <c r="K82" s="189">
        <f>NISTMap!O75</f>
        <v>8</v>
      </c>
      <c r="L82" s="198">
        <f ca="1">NISTMap!P75</f>
        <v>0</v>
      </c>
      <c r="M82" s="199">
        <f>NISTMap!R75</f>
        <v>2</v>
      </c>
      <c r="N82" s="198">
        <f ca="1">NISTMap!S75</f>
        <v>0</v>
      </c>
      <c r="O82" s="200">
        <f>NISTMap!U75</f>
        <v>3</v>
      </c>
      <c r="P82" s="198">
        <f ca="1">NISTMap!V75</f>
        <v>0</v>
      </c>
      <c r="Q82" s="201">
        <f>NISTMap!X75</f>
        <v>3</v>
      </c>
      <c r="R82" s="160"/>
      <c r="S82" s="55"/>
    </row>
    <row r="83" spans="1:19" ht="30" customHeight="1" x14ac:dyDescent="0.25">
      <c r="A83" s="4"/>
      <c r="B83" s="155"/>
      <c r="C83" s="170"/>
      <c r="D83" s="811"/>
      <c r="E83" s="213"/>
      <c r="F83" s="181" t="s">
        <v>1303</v>
      </c>
      <c r="G83" s="792"/>
      <c r="H83" s="182" t="s">
        <v>1209</v>
      </c>
      <c r="I83" s="183" t="s">
        <v>1405</v>
      </c>
      <c r="J83" s="192">
        <f ca="1">NISTMap!M76</f>
        <v>0</v>
      </c>
      <c r="K83" s="188">
        <f>NISTMap!O76</f>
        <v>5</v>
      </c>
      <c r="L83" s="193">
        <f ca="1">NISTMap!P76</f>
        <v>0</v>
      </c>
      <c r="M83" s="194">
        <f>NISTMap!R76</f>
        <v>2</v>
      </c>
      <c r="N83" s="193">
        <f ca="1">NISTMap!S76</f>
        <v>0</v>
      </c>
      <c r="O83" s="195">
        <f>NISTMap!U76</f>
        <v>1</v>
      </c>
      <c r="P83" s="193">
        <f ca="1">NISTMap!V76</f>
        <v>0</v>
      </c>
      <c r="Q83" s="196">
        <f>NISTMap!X76</f>
        <v>2</v>
      </c>
      <c r="R83" s="160"/>
      <c r="S83" s="55"/>
    </row>
    <row r="84" spans="1:19" ht="30" customHeight="1" x14ac:dyDescent="0.25">
      <c r="A84" s="4"/>
      <c r="B84" s="155"/>
      <c r="C84" s="170"/>
      <c r="D84" s="811"/>
      <c r="E84" s="213"/>
      <c r="F84" s="181" t="s">
        <v>1303</v>
      </c>
      <c r="G84" s="792"/>
      <c r="H84" s="182" t="s">
        <v>1210</v>
      </c>
      <c r="I84" s="183" t="s">
        <v>1406</v>
      </c>
      <c r="J84" s="192">
        <f ca="1">NISTMap!M77</f>
        <v>0</v>
      </c>
      <c r="K84" s="188">
        <f>NISTMap!O77</f>
        <v>5</v>
      </c>
      <c r="L84" s="193">
        <f ca="1">NISTMap!P77</f>
        <v>0</v>
      </c>
      <c r="M84" s="194">
        <f>NISTMap!R77</f>
        <v>2</v>
      </c>
      <c r="N84" s="193">
        <f ca="1">NISTMap!S77</f>
        <v>0</v>
      </c>
      <c r="O84" s="195">
        <f>NISTMap!U77</f>
        <v>1</v>
      </c>
      <c r="P84" s="193">
        <f ca="1">NISTMap!V77</f>
        <v>0</v>
      </c>
      <c r="Q84" s="196">
        <f>NISTMap!X77</f>
        <v>2</v>
      </c>
      <c r="R84" s="160"/>
      <c r="S84" s="55"/>
    </row>
    <row r="85" spans="1:19" ht="30" customHeight="1" x14ac:dyDescent="0.25">
      <c r="A85" s="4"/>
      <c r="B85" s="155"/>
      <c r="C85" s="170"/>
      <c r="D85" s="811"/>
      <c r="E85" s="213"/>
      <c r="F85" s="181" t="s">
        <v>1303</v>
      </c>
      <c r="G85" s="792"/>
      <c r="H85" s="182" t="s">
        <v>1212</v>
      </c>
      <c r="I85" s="183" t="s">
        <v>1407</v>
      </c>
      <c r="J85" s="192">
        <f ca="1">NISTMap!M78</f>
        <v>0</v>
      </c>
      <c r="K85" s="188">
        <f>NISTMap!O78</f>
        <v>7</v>
      </c>
      <c r="L85" s="193">
        <f ca="1">NISTMap!P78</f>
        <v>0</v>
      </c>
      <c r="M85" s="194">
        <f>NISTMap!R78</f>
        <v>2</v>
      </c>
      <c r="N85" s="193">
        <f ca="1">NISTMap!S78</f>
        <v>0</v>
      </c>
      <c r="O85" s="195">
        <f>NISTMap!U78</f>
        <v>2</v>
      </c>
      <c r="P85" s="193">
        <f ca="1">NISTMap!V78</f>
        <v>0</v>
      </c>
      <c r="Q85" s="196">
        <f>NISTMap!X78</f>
        <v>3</v>
      </c>
      <c r="R85" s="160"/>
      <c r="S85" s="55"/>
    </row>
    <row r="86" spans="1:19" ht="30" customHeight="1" x14ac:dyDescent="0.25">
      <c r="A86" s="4"/>
      <c r="B86" s="155"/>
      <c r="C86" s="170"/>
      <c r="D86" s="811"/>
      <c r="E86" s="213"/>
      <c r="F86" s="181" t="s">
        <v>1303</v>
      </c>
      <c r="G86" s="792"/>
      <c r="H86" s="182" t="s">
        <v>1000</v>
      </c>
      <c r="I86" s="183" t="s">
        <v>1408</v>
      </c>
      <c r="J86" s="192">
        <f ca="1">NISTMap!M79</f>
        <v>0</v>
      </c>
      <c r="K86" s="188">
        <f>NISTMap!O79</f>
        <v>6</v>
      </c>
      <c r="L86" s="193">
        <f ca="1">NISTMap!P79</f>
        <v>0</v>
      </c>
      <c r="M86" s="194">
        <f>NISTMap!R79</f>
        <v>2</v>
      </c>
      <c r="N86" s="193">
        <f ca="1">NISTMap!S79</f>
        <v>0</v>
      </c>
      <c r="O86" s="195">
        <f>NISTMap!U79</f>
        <v>1</v>
      </c>
      <c r="P86" s="193">
        <f ca="1">NISTMap!V79</f>
        <v>0</v>
      </c>
      <c r="Q86" s="196">
        <f>NISTMap!X79</f>
        <v>3</v>
      </c>
      <c r="R86" s="160"/>
      <c r="S86" s="55"/>
    </row>
    <row r="87" spans="1:19" ht="30" customHeight="1" x14ac:dyDescent="0.25">
      <c r="A87" s="4"/>
      <c r="B87" s="155"/>
      <c r="C87" s="170"/>
      <c r="D87" s="811"/>
      <c r="E87" s="213"/>
      <c r="F87" s="181" t="s">
        <v>1303</v>
      </c>
      <c r="G87" s="792"/>
      <c r="H87" s="182" t="s">
        <v>1001</v>
      </c>
      <c r="I87" s="183" t="s">
        <v>1409</v>
      </c>
      <c r="J87" s="192">
        <f ca="1">NISTMap!M80</f>
        <v>0</v>
      </c>
      <c r="K87" s="188">
        <f>NISTMap!O80</f>
        <v>6</v>
      </c>
      <c r="L87" s="193">
        <f ca="1">NISTMap!P80</f>
        <v>0</v>
      </c>
      <c r="M87" s="194">
        <f>NISTMap!R80</f>
        <v>3</v>
      </c>
      <c r="N87" s="193">
        <f ca="1">NISTMap!S80</f>
        <v>0</v>
      </c>
      <c r="O87" s="195">
        <f>NISTMap!U80</f>
        <v>1</v>
      </c>
      <c r="P87" s="193">
        <f ca="1">NISTMap!V80</f>
        <v>0</v>
      </c>
      <c r="Q87" s="196">
        <f>NISTMap!X80</f>
        <v>2</v>
      </c>
      <c r="R87" s="160"/>
      <c r="S87" s="55"/>
    </row>
    <row r="88" spans="1:19" ht="30" customHeight="1" x14ac:dyDescent="0.25">
      <c r="A88" s="4"/>
      <c r="B88" s="155"/>
      <c r="C88" s="170"/>
      <c r="D88" s="811"/>
      <c r="E88" s="213"/>
      <c r="F88" s="181" t="s">
        <v>1303</v>
      </c>
      <c r="G88" s="792"/>
      <c r="H88" s="182" t="s">
        <v>1214</v>
      </c>
      <c r="I88" s="183" t="s">
        <v>1410</v>
      </c>
      <c r="J88" s="192">
        <f ca="1">NISTMap!M81</f>
        <v>0</v>
      </c>
      <c r="K88" s="188">
        <f>NISTMap!O81</f>
        <v>8</v>
      </c>
      <c r="L88" s="193">
        <f ca="1">NISTMap!P81</f>
        <v>0</v>
      </c>
      <c r="M88" s="194">
        <f>NISTMap!R81</f>
        <v>2</v>
      </c>
      <c r="N88" s="193">
        <f ca="1">NISTMap!S81</f>
        <v>0</v>
      </c>
      <c r="O88" s="195">
        <f>NISTMap!U81</f>
        <v>3</v>
      </c>
      <c r="P88" s="193">
        <f ca="1">NISTMap!V81</f>
        <v>0</v>
      </c>
      <c r="Q88" s="196">
        <f>NISTMap!X81</f>
        <v>3</v>
      </c>
      <c r="R88" s="160"/>
      <c r="S88" s="55"/>
    </row>
    <row r="89" spans="1:19" ht="30" customHeight="1" x14ac:dyDescent="0.25">
      <c r="A89" s="4"/>
      <c r="B89" s="155"/>
      <c r="C89" s="170"/>
      <c r="D89" s="811"/>
      <c r="E89" s="213"/>
      <c r="F89" s="181" t="s">
        <v>1303</v>
      </c>
      <c r="G89" s="792"/>
      <c r="H89" s="182" t="s">
        <v>1215</v>
      </c>
      <c r="I89" s="183" t="s">
        <v>1411</v>
      </c>
      <c r="J89" s="192">
        <f ca="1">NISTMap!M82</f>
        <v>0</v>
      </c>
      <c r="K89" s="188">
        <f>NISTMap!O82</f>
        <v>4</v>
      </c>
      <c r="L89" s="193">
        <f ca="1">NISTMap!P82</f>
        <v>0</v>
      </c>
      <c r="M89" s="194">
        <f>NISTMap!R82</f>
        <v>1</v>
      </c>
      <c r="N89" s="193">
        <f ca="1">NISTMap!S82</f>
        <v>0</v>
      </c>
      <c r="O89" s="195">
        <f>NISTMap!U82</f>
        <v>1</v>
      </c>
      <c r="P89" s="193">
        <f ca="1">NISTMap!V82</f>
        <v>0</v>
      </c>
      <c r="Q89" s="196">
        <f>NISTMap!X82</f>
        <v>2</v>
      </c>
      <c r="R89" s="160"/>
      <c r="S89" s="55"/>
    </row>
    <row r="90" spans="1:19" ht="30" customHeight="1" x14ac:dyDescent="0.25">
      <c r="A90" s="4"/>
      <c r="B90" s="155"/>
      <c r="C90" s="170"/>
      <c r="D90" s="811"/>
      <c r="E90" s="212" t="s">
        <v>1266</v>
      </c>
      <c r="F90" s="177" t="s">
        <v>1412</v>
      </c>
      <c r="G90" s="793" t="s">
        <v>1413</v>
      </c>
      <c r="H90" s="178" t="s">
        <v>1002</v>
      </c>
      <c r="I90" s="179" t="s">
        <v>1414</v>
      </c>
      <c r="J90" s="197">
        <f ca="1">NISTMap!M83</f>
        <v>0</v>
      </c>
      <c r="K90" s="189">
        <f>NISTMap!O83</f>
        <v>2</v>
      </c>
      <c r="L90" s="198">
        <f ca="1">NISTMap!P83</f>
        <v>0</v>
      </c>
      <c r="M90" s="199">
        <f>NISTMap!R83</f>
        <v>1</v>
      </c>
      <c r="N90" s="198">
        <f ca="1">NISTMap!S83</f>
        <v>0</v>
      </c>
      <c r="O90" s="200">
        <f>NISTMap!U83</f>
        <v>1</v>
      </c>
      <c r="P90" s="198">
        <f>NISTMap!V83</f>
        <v>0</v>
      </c>
      <c r="Q90" s="201">
        <f>NISTMap!X83</f>
        <v>0</v>
      </c>
      <c r="R90" s="160"/>
      <c r="S90" s="55"/>
    </row>
    <row r="91" spans="1:19" ht="30" customHeight="1" x14ac:dyDescent="0.25">
      <c r="A91" s="4"/>
      <c r="B91" s="155"/>
      <c r="C91" s="170"/>
      <c r="D91" s="811"/>
      <c r="E91" s="213"/>
      <c r="F91" s="181" t="s">
        <v>1303</v>
      </c>
      <c r="G91" s="792"/>
      <c r="H91" s="182" t="s">
        <v>1216</v>
      </c>
      <c r="I91" s="183" t="s">
        <v>1415</v>
      </c>
      <c r="J91" s="192">
        <f ca="1">NISTMap!M84</f>
        <v>0</v>
      </c>
      <c r="K91" s="188">
        <f>NISTMap!O84</f>
        <v>7</v>
      </c>
      <c r="L91" s="193">
        <f>NISTMap!P84</f>
        <v>0</v>
      </c>
      <c r="M91" s="194">
        <f>NISTMap!R84</f>
        <v>0</v>
      </c>
      <c r="N91" s="193">
        <f ca="1">NISTMap!S84</f>
        <v>0</v>
      </c>
      <c r="O91" s="195">
        <f>NISTMap!U84</f>
        <v>5</v>
      </c>
      <c r="P91" s="193">
        <f ca="1">NISTMap!V84</f>
        <v>0</v>
      </c>
      <c r="Q91" s="196">
        <f>NISTMap!X84</f>
        <v>2</v>
      </c>
      <c r="R91" s="160"/>
      <c r="S91" s="55"/>
    </row>
    <row r="92" spans="1:19" ht="30" customHeight="1" x14ac:dyDescent="0.25">
      <c r="A92" s="4"/>
      <c r="B92" s="155"/>
      <c r="C92" s="170"/>
      <c r="D92" s="811"/>
      <c r="E92" s="213"/>
      <c r="F92" s="181" t="s">
        <v>1303</v>
      </c>
      <c r="G92" s="792"/>
      <c r="H92" s="182" t="s">
        <v>1219</v>
      </c>
      <c r="I92" s="183" t="s">
        <v>1416</v>
      </c>
      <c r="J92" s="192">
        <f ca="1">NISTMap!M85</f>
        <v>0</v>
      </c>
      <c r="K92" s="188">
        <f>NISTMap!O85</f>
        <v>2</v>
      </c>
      <c r="L92" s="193">
        <f>NISTMap!P85</f>
        <v>0</v>
      </c>
      <c r="M92" s="194">
        <f>NISTMap!R85</f>
        <v>0</v>
      </c>
      <c r="N92" s="193">
        <f ca="1">NISTMap!S85</f>
        <v>0</v>
      </c>
      <c r="O92" s="195">
        <f>NISTMap!U85</f>
        <v>1</v>
      </c>
      <c r="P92" s="193">
        <f ca="1">NISTMap!V85</f>
        <v>0</v>
      </c>
      <c r="Q92" s="196">
        <f>NISTMap!X85</f>
        <v>1</v>
      </c>
      <c r="R92" s="160"/>
      <c r="S92" s="55"/>
    </row>
    <row r="93" spans="1:19" ht="30" customHeight="1" x14ac:dyDescent="0.25">
      <c r="A93" s="4"/>
      <c r="B93" s="155"/>
      <c r="C93" s="170"/>
      <c r="D93" s="811"/>
      <c r="E93" s="213"/>
      <c r="F93" s="181" t="s">
        <v>1303</v>
      </c>
      <c r="G93" s="792"/>
      <c r="H93" s="182" t="s">
        <v>1220</v>
      </c>
      <c r="I93" s="183" t="s">
        <v>1417</v>
      </c>
      <c r="J93" s="192">
        <f ca="1">NISTMap!M86</f>
        <v>0</v>
      </c>
      <c r="K93" s="188">
        <f>NISTMap!O86</f>
        <v>10</v>
      </c>
      <c r="L93" s="193">
        <f ca="1">NISTMap!P86</f>
        <v>0</v>
      </c>
      <c r="M93" s="194">
        <f>NISTMap!R86</f>
        <v>3</v>
      </c>
      <c r="N93" s="193">
        <f ca="1">NISTMap!S86</f>
        <v>0</v>
      </c>
      <c r="O93" s="195">
        <f>NISTMap!U86</f>
        <v>2</v>
      </c>
      <c r="P93" s="193">
        <f ca="1">NISTMap!V86</f>
        <v>0</v>
      </c>
      <c r="Q93" s="196">
        <f>NISTMap!X86</f>
        <v>5</v>
      </c>
      <c r="R93" s="160"/>
      <c r="S93" s="55"/>
    </row>
    <row r="94" spans="1:19" ht="30" customHeight="1" x14ac:dyDescent="0.25">
      <c r="A94" s="4"/>
      <c r="B94" s="155"/>
      <c r="C94" s="170"/>
      <c r="D94" s="812"/>
      <c r="E94" s="213"/>
      <c r="F94" s="181" t="s">
        <v>1303</v>
      </c>
      <c r="G94" s="792"/>
      <c r="H94" s="182" t="s">
        <v>1223</v>
      </c>
      <c r="I94" s="183" t="s">
        <v>1418</v>
      </c>
      <c r="J94" s="202">
        <f ca="1">NISTMap!M87</f>
        <v>0</v>
      </c>
      <c r="K94" s="190">
        <f>NISTMap!O87</f>
        <v>1</v>
      </c>
      <c r="L94" s="203">
        <f>NISTMap!P87</f>
        <v>0</v>
      </c>
      <c r="M94" s="204">
        <f>NISTMap!R87</f>
        <v>0</v>
      </c>
      <c r="N94" s="203">
        <f>NISTMap!S87</f>
        <v>0</v>
      </c>
      <c r="O94" s="205">
        <f>NISTMap!U87</f>
        <v>0</v>
      </c>
      <c r="P94" s="203">
        <f ca="1">NISTMap!V87</f>
        <v>0</v>
      </c>
      <c r="Q94" s="206">
        <f>NISTMap!X87</f>
        <v>1</v>
      </c>
      <c r="R94" s="160"/>
      <c r="S94" s="55"/>
    </row>
    <row r="95" spans="1:19" ht="30" customHeight="1" x14ac:dyDescent="0.25">
      <c r="A95" s="4"/>
      <c r="B95" s="155"/>
      <c r="C95" s="170"/>
      <c r="D95" s="813" t="s">
        <v>1419</v>
      </c>
      <c r="E95" s="176" t="s">
        <v>1267</v>
      </c>
      <c r="F95" s="177" t="s">
        <v>1420</v>
      </c>
      <c r="G95" s="177" t="s">
        <v>1421</v>
      </c>
      <c r="H95" s="178" t="s">
        <v>1224</v>
      </c>
      <c r="I95" s="179" t="s">
        <v>1422</v>
      </c>
      <c r="J95" s="192">
        <f ca="1">NISTMap!M88</f>
        <v>0</v>
      </c>
      <c r="K95" s="188">
        <f>NISTMap!O88</f>
        <v>1</v>
      </c>
      <c r="L95" s="193">
        <f>NISTMap!P88</f>
        <v>0</v>
      </c>
      <c r="M95" s="194">
        <f>NISTMap!R88</f>
        <v>0</v>
      </c>
      <c r="N95" s="193">
        <f ca="1">NISTMap!S88</f>
        <v>0</v>
      </c>
      <c r="O95" s="195">
        <f>NISTMap!U88</f>
        <v>1</v>
      </c>
      <c r="P95" s="193">
        <f>NISTMap!V88</f>
        <v>0</v>
      </c>
      <c r="Q95" s="196">
        <f>NISTMap!X88</f>
        <v>0</v>
      </c>
      <c r="R95" s="160"/>
      <c r="S95" s="55"/>
    </row>
    <row r="96" spans="1:19" ht="30" customHeight="1" x14ac:dyDescent="0.25">
      <c r="A96" s="4"/>
      <c r="B96" s="155"/>
      <c r="C96" s="170"/>
      <c r="D96" s="813"/>
      <c r="E96" s="212" t="s">
        <v>1268</v>
      </c>
      <c r="F96" s="177" t="s">
        <v>1423</v>
      </c>
      <c r="G96" s="793" t="s">
        <v>1424</v>
      </c>
      <c r="H96" s="178" t="s">
        <v>1226</v>
      </c>
      <c r="I96" s="179" t="s">
        <v>1425</v>
      </c>
      <c r="J96" s="197">
        <f ca="1">NISTMap!M89</f>
        <v>0</v>
      </c>
      <c r="K96" s="189">
        <f>NISTMap!O89</f>
        <v>1</v>
      </c>
      <c r="L96" s="198">
        <f ca="1">NISTMap!P89</f>
        <v>0</v>
      </c>
      <c r="M96" s="199">
        <f>NISTMap!R89</f>
        <v>1</v>
      </c>
      <c r="N96" s="198">
        <f>NISTMap!S89</f>
        <v>0</v>
      </c>
      <c r="O96" s="200">
        <f>NISTMap!U89</f>
        <v>0</v>
      </c>
      <c r="P96" s="198">
        <f>NISTMap!V89</f>
        <v>0</v>
      </c>
      <c r="Q96" s="201">
        <f>NISTMap!X89</f>
        <v>0</v>
      </c>
      <c r="R96" s="160"/>
      <c r="S96" s="55"/>
    </row>
    <row r="97" spans="1:19" ht="30" customHeight="1" x14ac:dyDescent="0.25">
      <c r="A97" s="4"/>
      <c r="B97" s="155"/>
      <c r="C97" s="170"/>
      <c r="D97" s="813"/>
      <c r="E97" s="213"/>
      <c r="F97" s="181" t="s">
        <v>1303</v>
      </c>
      <c r="G97" s="792"/>
      <c r="H97" s="182" t="s">
        <v>1228</v>
      </c>
      <c r="I97" s="183" t="s">
        <v>1426</v>
      </c>
      <c r="J97" s="192">
        <f ca="1">NISTMap!M90</f>
        <v>0</v>
      </c>
      <c r="K97" s="188">
        <f>NISTMap!O90</f>
        <v>4</v>
      </c>
      <c r="L97" s="193">
        <f ca="1">NISTMap!P90</f>
        <v>0</v>
      </c>
      <c r="M97" s="194">
        <f>NISTMap!R90</f>
        <v>2</v>
      </c>
      <c r="N97" s="193">
        <f ca="1">NISTMap!S90</f>
        <v>0</v>
      </c>
      <c r="O97" s="195">
        <f>NISTMap!U90</f>
        <v>2</v>
      </c>
      <c r="P97" s="193">
        <f>NISTMap!V90</f>
        <v>0</v>
      </c>
      <c r="Q97" s="196">
        <f>NISTMap!X90</f>
        <v>0</v>
      </c>
      <c r="R97" s="160"/>
      <c r="S97" s="55"/>
    </row>
    <row r="98" spans="1:19" ht="30" customHeight="1" x14ac:dyDescent="0.25">
      <c r="A98" s="4"/>
      <c r="B98" s="155"/>
      <c r="C98" s="170"/>
      <c r="D98" s="813"/>
      <c r="E98" s="213"/>
      <c r="F98" s="181" t="s">
        <v>1303</v>
      </c>
      <c r="G98" s="792"/>
      <c r="H98" s="182" t="s">
        <v>1229</v>
      </c>
      <c r="I98" s="183" t="s">
        <v>1427</v>
      </c>
      <c r="J98" s="192">
        <f ca="1">NISTMap!M91</f>
        <v>0</v>
      </c>
      <c r="K98" s="188">
        <f>NISTMap!O91</f>
        <v>11</v>
      </c>
      <c r="L98" s="193">
        <f>NISTMap!P91</f>
        <v>0</v>
      </c>
      <c r="M98" s="194">
        <f>NISTMap!R91</f>
        <v>0</v>
      </c>
      <c r="N98" s="193">
        <f ca="1">NISTMap!S91</f>
        <v>0</v>
      </c>
      <c r="O98" s="195">
        <f>NISTMap!U91</f>
        <v>5</v>
      </c>
      <c r="P98" s="193">
        <f ca="1">NISTMap!V91</f>
        <v>0</v>
      </c>
      <c r="Q98" s="196">
        <f>NISTMap!X91</f>
        <v>6</v>
      </c>
      <c r="R98" s="160"/>
      <c r="S98" s="55"/>
    </row>
    <row r="99" spans="1:19" ht="30" customHeight="1" x14ac:dyDescent="0.25">
      <c r="A99" s="4"/>
      <c r="B99" s="155"/>
      <c r="C99" s="170"/>
      <c r="D99" s="813"/>
      <c r="E99" s="213"/>
      <c r="F99" s="181" t="s">
        <v>1303</v>
      </c>
      <c r="G99" s="792"/>
      <c r="H99" s="182" t="s">
        <v>1231</v>
      </c>
      <c r="I99" s="183" t="s">
        <v>1428</v>
      </c>
      <c r="J99" s="192">
        <f ca="1">NISTMap!M92</f>
        <v>0</v>
      </c>
      <c r="K99" s="188">
        <f>NISTMap!O92</f>
        <v>3</v>
      </c>
      <c r="L99" s="193">
        <f>NISTMap!P92</f>
        <v>0</v>
      </c>
      <c r="M99" s="194">
        <f>NISTMap!R92</f>
        <v>0</v>
      </c>
      <c r="N99" s="193">
        <f ca="1">NISTMap!S92</f>
        <v>0</v>
      </c>
      <c r="O99" s="195">
        <f>NISTMap!U92</f>
        <v>3</v>
      </c>
      <c r="P99" s="193">
        <f>NISTMap!V92</f>
        <v>0</v>
      </c>
      <c r="Q99" s="196">
        <f>NISTMap!X92</f>
        <v>0</v>
      </c>
      <c r="R99" s="160"/>
      <c r="S99" s="55"/>
    </row>
    <row r="100" spans="1:19" ht="30" customHeight="1" x14ac:dyDescent="0.25">
      <c r="A100" s="4"/>
      <c r="B100" s="155"/>
      <c r="C100" s="170"/>
      <c r="D100" s="813"/>
      <c r="E100" s="213"/>
      <c r="F100" s="181" t="s">
        <v>1303</v>
      </c>
      <c r="G100" s="792"/>
      <c r="H100" s="182" t="s">
        <v>1232</v>
      </c>
      <c r="I100" s="183" t="s">
        <v>1429</v>
      </c>
      <c r="J100" s="192">
        <f ca="1">NISTMap!M93</f>
        <v>0</v>
      </c>
      <c r="K100" s="188">
        <f>NISTMap!O93</f>
        <v>7</v>
      </c>
      <c r="L100" s="193">
        <f ca="1">NISTMap!P93</f>
        <v>0</v>
      </c>
      <c r="M100" s="194">
        <f>NISTMap!R93</f>
        <v>2</v>
      </c>
      <c r="N100" s="193">
        <f ca="1">NISTMap!S93</f>
        <v>0</v>
      </c>
      <c r="O100" s="195">
        <f>NISTMap!U93</f>
        <v>2</v>
      </c>
      <c r="P100" s="193">
        <f ca="1">NISTMap!V93</f>
        <v>0</v>
      </c>
      <c r="Q100" s="196">
        <f>NISTMap!X93</f>
        <v>3</v>
      </c>
      <c r="R100" s="160"/>
      <c r="S100" s="55"/>
    </row>
    <row r="101" spans="1:19" ht="30" customHeight="1" x14ac:dyDescent="0.25">
      <c r="A101" s="4"/>
      <c r="B101" s="155"/>
      <c r="C101" s="170"/>
      <c r="D101" s="813"/>
      <c r="E101" s="212" t="s">
        <v>1269</v>
      </c>
      <c r="F101" s="177" t="s">
        <v>1430</v>
      </c>
      <c r="G101" s="793" t="s">
        <v>1431</v>
      </c>
      <c r="H101" s="178" t="s">
        <v>1233</v>
      </c>
      <c r="I101" s="179" t="s">
        <v>1432</v>
      </c>
      <c r="J101" s="197">
        <f ca="1">NISTMap!M94</f>
        <v>0</v>
      </c>
      <c r="K101" s="189">
        <f>NISTMap!O94</f>
        <v>2</v>
      </c>
      <c r="L101" s="198">
        <f>NISTMap!P94</f>
        <v>0</v>
      </c>
      <c r="M101" s="199">
        <f>NISTMap!R94</f>
        <v>0</v>
      </c>
      <c r="N101" s="198">
        <f ca="1">NISTMap!S94</f>
        <v>0</v>
      </c>
      <c r="O101" s="200">
        <f>NISTMap!U94</f>
        <v>1</v>
      </c>
      <c r="P101" s="198">
        <f ca="1">NISTMap!V94</f>
        <v>0</v>
      </c>
      <c r="Q101" s="201">
        <f>NISTMap!X94</f>
        <v>1</v>
      </c>
      <c r="R101" s="160"/>
      <c r="S101" s="55"/>
    </row>
    <row r="102" spans="1:19" ht="30" customHeight="1" x14ac:dyDescent="0.25">
      <c r="A102" s="4"/>
      <c r="B102" s="155"/>
      <c r="C102" s="170"/>
      <c r="D102" s="813"/>
      <c r="E102" s="213"/>
      <c r="F102" s="181" t="s">
        <v>1303</v>
      </c>
      <c r="G102" s="792"/>
      <c r="H102" s="182" t="s">
        <v>1234</v>
      </c>
      <c r="I102" s="183" t="s">
        <v>1433</v>
      </c>
      <c r="J102" s="192">
        <f ca="1">NISTMap!M95</f>
        <v>0</v>
      </c>
      <c r="K102" s="188">
        <f>NISTMap!O95</f>
        <v>5</v>
      </c>
      <c r="L102" s="193">
        <f>NISTMap!P95</f>
        <v>0</v>
      </c>
      <c r="M102" s="194">
        <f>NISTMap!R95</f>
        <v>0</v>
      </c>
      <c r="N102" s="193">
        <f ca="1">NISTMap!S95</f>
        <v>0</v>
      </c>
      <c r="O102" s="195">
        <f>NISTMap!U95</f>
        <v>3</v>
      </c>
      <c r="P102" s="193">
        <f ca="1">NISTMap!V95</f>
        <v>0</v>
      </c>
      <c r="Q102" s="196">
        <f>NISTMap!X95</f>
        <v>2</v>
      </c>
      <c r="R102" s="160"/>
      <c r="S102" s="55"/>
    </row>
    <row r="103" spans="1:19" ht="30" customHeight="1" x14ac:dyDescent="0.25">
      <c r="A103" s="4"/>
      <c r="B103" s="155"/>
      <c r="C103" s="170"/>
      <c r="D103" s="813"/>
      <c r="E103" s="213"/>
      <c r="F103" s="181" t="s">
        <v>1303</v>
      </c>
      <c r="G103" s="792"/>
      <c r="H103" s="182" t="s">
        <v>1235</v>
      </c>
      <c r="I103" s="183" t="s">
        <v>1434</v>
      </c>
      <c r="J103" s="192">
        <f ca="1">NISTMap!M96</f>
        <v>0</v>
      </c>
      <c r="K103" s="188">
        <f>NISTMap!O96</f>
        <v>3</v>
      </c>
      <c r="L103" s="193">
        <f>NISTMap!P96</f>
        <v>0</v>
      </c>
      <c r="M103" s="194">
        <f>NISTMap!R96</f>
        <v>0</v>
      </c>
      <c r="N103" s="193">
        <f ca="1">NISTMap!S96</f>
        <v>0</v>
      </c>
      <c r="O103" s="195">
        <f>NISTMap!U96</f>
        <v>1</v>
      </c>
      <c r="P103" s="193">
        <f ca="1">NISTMap!V96</f>
        <v>0</v>
      </c>
      <c r="Q103" s="196">
        <f>NISTMap!X96</f>
        <v>2</v>
      </c>
      <c r="R103" s="160"/>
      <c r="S103" s="55"/>
    </row>
    <row r="104" spans="1:19" ht="30" customHeight="1" x14ac:dyDescent="0.25">
      <c r="A104" s="4"/>
      <c r="B104" s="155"/>
      <c r="C104" s="170"/>
      <c r="D104" s="813"/>
      <c r="E104" s="213"/>
      <c r="F104" s="181" t="s">
        <v>1303</v>
      </c>
      <c r="G104" s="792"/>
      <c r="H104" s="182" t="s">
        <v>1236</v>
      </c>
      <c r="I104" s="183" t="s">
        <v>1435</v>
      </c>
      <c r="J104" s="192">
        <f ca="1">NISTMap!M97</f>
        <v>0</v>
      </c>
      <c r="K104" s="188">
        <f>NISTMap!O97</f>
        <v>4</v>
      </c>
      <c r="L104" s="193">
        <f ca="1">NISTMap!P97</f>
        <v>0</v>
      </c>
      <c r="M104" s="194">
        <f>NISTMap!R97</f>
        <v>1</v>
      </c>
      <c r="N104" s="193">
        <f ca="1">NISTMap!S97</f>
        <v>0</v>
      </c>
      <c r="O104" s="195">
        <f>NISTMap!U97</f>
        <v>2</v>
      </c>
      <c r="P104" s="193">
        <f ca="1">NISTMap!V97</f>
        <v>0</v>
      </c>
      <c r="Q104" s="196">
        <f>NISTMap!X97</f>
        <v>1</v>
      </c>
      <c r="R104" s="160"/>
      <c r="S104" s="55"/>
    </row>
    <row r="105" spans="1:19" ht="60" customHeight="1" x14ac:dyDescent="0.25">
      <c r="A105" s="4"/>
      <c r="B105" s="155"/>
      <c r="C105" s="170"/>
      <c r="D105" s="813"/>
      <c r="E105" s="214"/>
      <c r="F105" s="185" t="s">
        <v>1303</v>
      </c>
      <c r="G105" s="794"/>
      <c r="H105" s="186" t="s">
        <v>1237</v>
      </c>
      <c r="I105" s="187" t="s">
        <v>1436</v>
      </c>
      <c r="J105" s="202">
        <f ca="1">NISTMap!M98</f>
        <v>0</v>
      </c>
      <c r="K105" s="190">
        <f>NISTMap!O98</f>
        <v>11</v>
      </c>
      <c r="L105" s="203">
        <f ca="1">NISTMap!P98</f>
        <v>0</v>
      </c>
      <c r="M105" s="204">
        <f>NISTMap!R98</f>
        <v>4</v>
      </c>
      <c r="N105" s="203">
        <f ca="1">NISTMap!S98</f>
        <v>0</v>
      </c>
      <c r="O105" s="205">
        <f>NISTMap!U98</f>
        <v>3</v>
      </c>
      <c r="P105" s="203">
        <f ca="1">NISTMap!V98</f>
        <v>0</v>
      </c>
      <c r="Q105" s="206">
        <f>NISTMap!X98</f>
        <v>4</v>
      </c>
      <c r="R105" s="160"/>
      <c r="S105" s="55"/>
    </row>
    <row r="106" spans="1:19" ht="30" customHeight="1" x14ac:dyDescent="0.25">
      <c r="A106" s="4"/>
      <c r="B106" s="155"/>
      <c r="C106" s="170"/>
      <c r="D106" s="813"/>
      <c r="E106" s="212" t="s">
        <v>1270</v>
      </c>
      <c r="F106" s="177" t="s">
        <v>1437</v>
      </c>
      <c r="G106" s="793" t="s">
        <v>1438</v>
      </c>
      <c r="H106" s="178" t="s">
        <v>1239</v>
      </c>
      <c r="I106" s="179" t="s">
        <v>1439</v>
      </c>
      <c r="J106" s="197">
        <f ca="1">NISTMap!M99</f>
        <v>0</v>
      </c>
      <c r="K106" s="189">
        <f>NISTMap!O99</f>
        <v>1</v>
      </c>
      <c r="L106" s="198">
        <f ca="1">NISTMap!P99</f>
        <v>0</v>
      </c>
      <c r="M106" s="199">
        <f>NISTMap!R99</f>
        <v>1</v>
      </c>
      <c r="N106" s="198">
        <f>NISTMap!S99</f>
        <v>0</v>
      </c>
      <c r="O106" s="200">
        <f>NISTMap!U99</f>
        <v>0</v>
      </c>
      <c r="P106" s="198">
        <f>NISTMap!V99</f>
        <v>0</v>
      </c>
      <c r="Q106" s="201">
        <f>NISTMap!X99</f>
        <v>0</v>
      </c>
      <c r="R106" s="160"/>
      <c r="S106" s="55"/>
    </row>
    <row r="107" spans="1:19" ht="30" customHeight="1" x14ac:dyDescent="0.25">
      <c r="A107" s="4"/>
      <c r="B107" s="155"/>
      <c r="C107" s="170"/>
      <c r="D107" s="813"/>
      <c r="E107" s="213"/>
      <c r="F107" s="181" t="s">
        <v>1303</v>
      </c>
      <c r="G107" s="792"/>
      <c r="H107" s="182" t="s">
        <v>1241</v>
      </c>
      <c r="I107" s="183" t="s">
        <v>1440</v>
      </c>
      <c r="J107" s="192">
        <f ca="1">NISTMap!M100</f>
        <v>0</v>
      </c>
      <c r="K107" s="188">
        <f>NISTMap!O100</f>
        <v>1</v>
      </c>
      <c r="L107" s="193">
        <f ca="1">NISTMap!P100</f>
        <v>0</v>
      </c>
      <c r="M107" s="194">
        <f>NISTMap!R100</f>
        <v>1</v>
      </c>
      <c r="N107" s="193">
        <f>NISTMap!S100</f>
        <v>0</v>
      </c>
      <c r="O107" s="195">
        <f>NISTMap!U100</f>
        <v>0</v>
      </c>
      <c r="P107" s="193">
        <f>NISTMap!V100</f>
        <v>0</v>
      </c>
      <c r="Q107" s="196">
        <f>NISTMap!X100</f>
        <v>0</v>
      </c>
      <c r="R107" s="160"/>
      <c r="S107" s="55"/>
    </row>
    <row r="108" spans="1:19" ht="30" customHeight="1" x14ac:dyDescent="0.25">
      <c r="A108" s="4"/>
      <c r="B108" s="155"/>
      <c r="C108" s="170"/>
      <c r="D108" s="813"/>
      <c r="E108" s="214"/>
      <c r="F108" s="185" t="s">
        <v>1303</v>
      </c>
      <c r="G108" s="794"/>
      <c r="H108" s="186" t="s">
        <v>1242</v>
      </c>
      <c r="I108" s="187" t="s">
        <v>1441</v>
      </c>
      <c r="J108" s="202">
        <f ca="1">NISTMap!M101</f>
        <v>0</v>
      </c>
      <c r="K108" s="190">
        <f>NISTMap!O101</f>
        <v>5</v>
      </c>
      <c r="L108" s="203">
        <f ca="1">NISTMap!P101</f>
        <v>0</v>
      </c>
      <c r="M108" s="204">
        <f>NISTMap!R101</f>
        <v>1</v>
      </c>
      <c r="N108" s="203">
        <f ca="1">NISTMap!S101</f>
        <v>0</v>
      </c>
      <c r="O108" s="205">
        <f>NISTMap!U101</f>
        <v>2</v>
      </c>
      <c r="P108" s="203">
        <f ca="1">NISTMap!V101</f>
        <v>0</v>
      </c>
      <c r="Q108" s="206">
        <f>NISTMap!X101</f>
        <v>2</v>
      </c>
      <c r="R108" s="160"/>
      <c r="S108" s="55"/>
    </row>
    <row r="109" spans="1:19" ht="30" customHeight="1" x14ac:dyDescent="0.25">
      <c r="A109" s="4"/>
      <c r="B109" s="155"/>
      <c r="C109" s="170"/>
      <c r="D109" s="813"/>
      <c r="E109" s="180" t="s">
        <v>1271</v>
      </c>
      <c r="F109" s="181" t="s">
        <v>1442</v>
      </c>
      <c r="G109" s="792" t="s">
        <v>1443</v>
      </c>
      <c r="H109" s="182" t="s">
        <v>1243</v>
      </c>
      <c r="I109" s="183" t="s">
        <v>1444</v>
      </c>
      <c r="J109" s="192">
        <f ca="1">NISTMap!M102</f>
        <v>0</v>
      </c>
      <c r="K109" s="188">
        <f>NISTMap!O102</f>
        <v>1</v>
      </c>
      <c r="L109" s="193">
        <f>NISTMap!P102</f>
        <v>0</v>
      </c>
      <c r="M109" s="194">
        <f>NISTMap!R102</f>
        <v>0</v>
      </c>
      <c r="N109" s="193">
        <f>NISTMap!S102</f>
        <v>0</v>
      </c>
      <c r="O109" s="195">
        <f>NISTMap!U102</f>
        <v>0</v>
      </c>
      <c r="P109" s="193">
        <f ca="1">NISTMap!V102</f>
        <v>0</v>
      </c>
      <c r="Q109" s="196">
        <f>NISTMap!X102</f>
        <v>1</v>
      </c>
      <c r="R109" s="160"/>
      <c r="S109" s="55"/>
    </row>
    <row r="110" spans="1:19" ht="30" customHeight="1" x14ac:dyDescent="0.25">
      <c r="A110" s="4"/>
      <c r="B110" s="155"/>
      <c r="C110" s="170"/>
      <c r="D110" s="813"/>
      <c r="E110" s="184"/>
      <c r="F110" s="185" t="s">
        <v>1303</v>
      </c>
      <c r="G110" s="794"/>
      <c r="H110" s="186" t="s">
        <v>1244</v>
      </c>
      <c r="I110" s="187" t="s">
        <v>1445</v>
      </c>
      <c r="J110" s="192">
        <f ca="1">NISTMap!M103</f>
        <v>0</v>
      </c>
      <c r="K110" s="188">
        <f>NISTMap!O103</f>
        <v>1</v>
      </c>
      <c r="L110" s="193">
        <f>NISTMap!P103</f>
        <v>0</v>
      </c>
      <c r="M110" s="194">
        <f>NISTMap!R103</f>
        <v>0</v>
      </c>
      <c r="N110" s="193">
        <f>NISTMap!S103</f>
        <v>0</v>
      </c>
      <c r="O110" s="195">
        <f>NISTMap!U103</f>
        <v>0</v>
      </c>
      <c r="P110" s="193">
        <f ca="1">NISTMap!V103</f>
        <v>0</v>
      </c>
      <c r="Q110" s="196">
        <f>NISTMap!X103</f>
        <v>1</v>
      </c>
      <c r="R110" s="160"/>
      <c r="S110" s="55"/>
    </row>
    <row r="111" spans="1:19" ht="30" customHeight="1" x14ac:dyDescent="0.25">
      <c r="A111" s="4"/>
      <c r="B111" s="155"/>
      <c r="C111" s="170"/>
      <c r="D111" s="808" t="s">
        <v>1446</v>
      </c>
      <c r="E111" s="180" t="s">
        <v>1272</v>
      </c>
      <c r="F111" s="181" t="s">
        <v>1447</v>
      </c>
      <c r="G111" s="181" t="s">
        <v>1448</v>
      </c>
      <c r="H111" s="182" t="s">
        <v>1245</v>
      </c>
      <c r="I111" s="183" t="s">
        <v>1449</v>
      </c>
      <c r="J111" s="192">
        <f ca="1">NISTMap!M104</f>
        <v>0</v>
      </c>
      <c r="K111" s="188">
        <f>NISTMap!O104</f>
        <v>5</v>
      </c>
      <c r="L111" s="193">
        <f ca="1">NISTMap!P104</f>
        <v>0</v>
      </c>
      <c r="M111" s="194">
        <f>NISTMap!R104</f>
        <v>1</v>
      </c>
      <c r="N111" s="193">
        <f ca="1">NISTMap!S104</f>
        <v>0</v>
      </c>
      <c r="O111" s="195">
        <f>NISTMap!U104</f>
        <v>3</v>
      </c>
      <c r="P111" s="193">
        <f ca="1">NISTMap!V104</f>
        <v>0</v>
      </c>
      <c r="Q111" s="196">
        <f>NISTMap!X104</f>
        <v>1</v>
      </c>
      <c r="R111" s="160"/>
      <c r="S111" s="55"/>
    </row>
    <row r="112" spans="1:19" ht="30" customHeight="1" x14ac:dyDescent="0.25">
      <c r="A112" s="4"/>
      <c r="B112" s="155"/>
      <c r="C112" s="170"/>
      <c r="D112" s="809"/>
      <c r="E112" s="212" t="s">
        <v>1273</v>
      </c>
      <c r="F112" s="177" t="s">
        <v>1442</v>
      </c>
      <c r="G112" s="793" t="s">
        <v>1450</v>
      </c>
      <c r="H112" s="178" t="s">
        <v>1246</v>
      </c>
      <c r="I112" s="179" t="s">
        <v>1451</v>
      </c>
      <c r="J112" s="197">
        <f ca="1">NISTMap!M105</f>
        <v>0</v>
      </c>
      <c r="K112" s="189">
        <f>NISTMap!O105</f>
        <v>3</v>
      </c>
      <c r="L112" s="198">
        <f>NISTMap!P105</f>
        <v>0</v>
      </c>
      <c r="M112" s="199">
        <f>NISTMap!R105</f>
        <v>0</v>
      </c>
      <c r="N112" s="198">
        <f>NISTMap!S105</f>
        <v>0</v>
      </c>
      <c r="O112" s="200">
        <f>NISTMap!U105</f>
        <v>0</v>
      </c>
      <c r="P112" s="198">
        <f ca="1">NISTMap!V105</f>
        <v>0</v>
      </c>
      <c r="Q112" s="201">
        <f>NISTMap!X105</f>
        <v>3</v>
      </c>
      <c r="R112" s="160"/>
      <c r="S112" s="55"/>
    </row>
    <row r="113" spans="1:19" ht="30" customHeight="1" x14ac:dyDescent="0.25">
      <c r="A113" s="4"/>
      <c r="B113" s="155"/>
      <c r="C113" s="170"/>
      <c r="D113" s="809"/>
      <c r="E113" s="214"/>
      <c r="F113" s="185" t="s">
        <v>1303</v>
      </c>
      <c r="G113" s="794"/>
      <c r="H113" s="186" t="s">
        <v>1247</v>
      </c>
      <c r="I113" s="187" t="s">
        <v>1452</v>
      </c>
      <c r="J113" s="202">
        <f ca="1">NISTMap!M106</f>
        <v>0</v>
      </c>
      <c r="K113" s="190">
        <f>NISTMap!O106</f>
        <v>1</v>
      </c>
      <c r="L113" s="203">
        <f>NISTMap!P106</f>
        <v>0</v>
      </c>
      <c r="M113" s="204">
        <f>NISTMap!R106</f>
        <v>0</v>
      </c>
      <c r="N113" s="203">
        <f>NISTMap!S106</f>
        <v>0</v>
      </c>
      <c r="O113" s="205">
        <f>NISTMap!U106</f>
        <v>0</v>
      </c>
      <c r="P113" s="203">
        <f ca="1">NISTMap!V106</f>
        <v>0</v>
      </c>
      <c r="Q113" s="206">
        <f>NISTMap!X106</f>
        <v>1</v>
      </c>
      <c r="R113" s="160"/>
      <c r="S113" s="55"/>
    </row>
    <row r="114" spans="1:19" ht="30" customHeight="1" x14ac:dyDescent="0.25">
      <c r="A114" s="4"/>
      <c r="B114" s="155"/>
      <c r="C114" s="170"/>
      <c r="D114" s="809"/>
      <c r="E114" s="180" t="s">
        <v>1274</v>
      </c>
      <c r="F114" s="181" t="s">
        <v>1423</v>
      </c>
      <c r="G114" s="792" t="s">
        <v>1453</v>
      </c>
      <c r="H114" s="182" t="s">
        <v>1248</v>
      </c>
      <c r="I114" s="183" t="s">
        <v>1454</v>
      </c>
      <c r="J114" s="192">
        <f ca="1">NISTMap!M107</f>
        <v>0</v>
      </c>
      <c r="K114" s="188">
        <f>NISTMap!O107</f>
        <v>1</v>
      </c>
      <c r="L114" s="193">
        <f>NISTMap!P107</f>
        <v>0</v>
      </c>
      <c r="M114" s="194">
        <f>NISTMap!R107</f>
        <v>0</v>
      </c>
      <c r="N114" s="193">
        <f>NISTMap!S107</f>
        <v>0</v>
      </c>
      <c r="O114" s="195">
        <f>NISTMap!U107</f>
        <v>0</v>
      </c>
      <c r="P114" s="193">
        <f ca="1">NISTMap!V107</f>
        <v>0</v>
      </c>
      <c r="Q114" s="196">
        <f>NISTMap!X107</f>
        <v>1</v>
      </c>
      <c r="R114" s="160"/>
      <c r="S114" s="55"/>
    </row>
    <row r="115" spans="1:19" ht="30" customHeight="1" x14ac:dyDescent="0.25">
      <c r="A115" s="4"/>
      <c r="B115" s="155"/>
      <c r="C115" s="170"/>
      <c r="D115" s="809"/>
      <c r="E115" s="180"/>
      <c r="F115" s="181" t="s">
        <v>1303</v>
      </c>
      <c r="G115" s="792"/>
      <c r="H115" s="182" t="s">
        <v>1249</v>
      </c>
      <c r="I115" s="183" t="s">
        <v>1455</v>
      </c>
      <c r="J115" s="192">
        <f ca="1">NISTMap!M108</f>
        <v>0</v>
      </c>
      <c r="K115" s="188">
        <f>NISTMap!O108</f>
        <v>1</v>
      </c>
      <c r="L115" s="193">
        <f>NISTMap!P108</f>
        <v>0</v>
      </c>
      <c r="M115" s="194">
        <f>NISTMap!R108</f>
        <v>0</v>
      </c>
      <c r="N115" s="193">
        <f ca="1">NISTMap!S108</f>
        <v>0</v>
      </c>
      <c r="O115" s="195">
        <f>NISTMap!U108</f>
        <v>1</v>
      </c>
      <c r="P115" s="193">
        <f>NISTMap!V108</f>
        <v>0</v>
      </c>
      <c r="Q115" s="196">
        <f>NISTMap!X108</f>
        <v>0</v>
      </c>
      <c r="R115" s="160"/>
      <c r="S115" s="55"/>
    </row>
    <row r="116" spans="1:19" ht="30" customHeight="1" thickBot="1" x14ac:dyDescent="0.3">
      <c r="A116" s="4"/>
      <c r="B116" s="155"/>
      <c r="C116" s="171"/>
      <c r="D116" s="809"/>
      <c r="E116" s="184"/>
      <c r="F116" s="185" t="s">
        <v>1303</v>
      </c>
      <c r="G116" s="794"/>
      <c r="H116" s="186" t="s">
        <v>1250</v>
      </c>
      <c r="I116" s="187" t="s">
        <v>1456</v>
      </c>
      <c r="J116" s="207">
        <f ca="1">NISTMap!M109</f>
        <v>0</v>
      </c>
      <c r="K116" s="191">
        <f>NISTMap!O109</f>
        <v>2</v>
      </c>
      <c r="L116" s="208">
        <f>NISTMap!P109</f>
        <v>0</v>
      </c>
      <c r="M116" s="209">
        <f>NISTMap!R109</f>
        <v>0</v>
      </c>
      <c r="N116" s="208">
        <f ca="1">NISTMap!S109</f>
        <v>0</v>
      </c>
      <c r="O116" s="210">
        <f>NISTMap!U109</f>
        <v>2</v>
      </c>
      <c r="P116" s="208">
        <f>NISTMap!V109</f>
        <v>0</v>
      </c>
      <c r="Q116" s="211">
        <f>NISTMap!X109</f>
        <v>0</v>
      </c>
      <c r="R116" s="160"/>
      <c r="S116" s="55"/>
    </row>
    <row r="117" spans="1:19" ht="13.5" x14ac:dyDescent="0.25">
      <c r="A117" s="21"/>
      <c r="B117" s="164"/>
      <c r="C117" s="165"/>
      <c r="D117" s="165"/>
      <c r="E117" s="165"/>
      <c r="F117" s="165"/>
      <c r="G117" s="165"/>
      <c r="H117" s="165"/>
      <c r="I117" s="165"/>
      <c r="J117" s="165"/>
      <c r="K117" s="165"/>
      <c r="L117" s="165"/>
      <c r="M117" s="165"/>
      <c r="N117" s="165"/>
      <c r="O117" s="165"/>
      <c r="P117" s="165"/>
      <c r="Q117" s="165"/>
      <c r="R117" s="163"/>
      <c r="S117" s="21"/>
    </row>
    <row r="118" spans="1:19" ht="13.5" x14ac:dyDescent="0.25">
      <c r="A118" s="21"/>
      <c r="B118" s="21"/>
      <c r="C118" s="21"/>
      <c r="D118" s="21"/>
      <c r="E118" s="21"/>
      <c r="F118" s="21"/>
      <c r="G118" s="21"/>
      <c r="H118" s="21"/>
      <c r="I118" s="21"/>
      <c r="J118" s="21"/>
      <c r="K118" s="21"/>
      <c r="L118" s="21"/>
      <c r="M118" s="21"/>
      <c r="N118" s="21"/>
      <c r="O118" s="21"/>
      <c r="P118" s="21"/>
      <c r="Q118" s="21"/>
      <c r="R118" s="21"/>
      <c r="S118" s="21"/>
    </row>
  </sheetData>
  <sheetProtection sheet="1" objects="1" scenarios="1"/>
  <mergeCells count="32">
    <mergeCell ref="L8:M8"/>
    <mergeCell ref="N8:O8"/>
    <mergeCell ref="P8:Q8"/>
    <mergeCell ref="D111:D116"/>
    <mergeCell ref="G112:G113"/>
    <mergeCell ref="G114:G116"/>
    <mergeCell ref="D77:D94"/>
    <mergeCell ref="G77:G81"/>
    <mergeCell ref="G82:G89"/>
    <mergeCell ref="G90:G94"/>
    <mergeCell ref="D95:D110"/>
    <mergeCell ref="G96:G100"/>
    <mergeCell ref="G101:G105"/>
    <mergeCell ref="G106:G108"/>
    <mergeCell ref="G109:G110"/>
    <mergeCell ref="D38:D76"/>
    <mergeCell ref="G70:G71"/>
    <mergeCell ref="G72:G76"/>
    <mergeCell ref="D7:I7"/>
    <mergeCell ref="J7:Q7"/>
    <mergeCell ref="D9:D37"/>
    <mergeCell ref="G9:G14"/>
    <mergeCell ref="G15:G19"/>
    <mergeCell ref="G20:G23"/>
    <mergeCell ref="G24:G29"/>
    <mergeCell ref="G30:G32"/>
    <mergeCell ref="G33:G37"/>
    <mergeCell ref="G38:G44"/>
    <mergeCell ref="G45:G49"/>
    <mergeCell ref="G50:G57"/>
    <mergeCell ref="G58:G67"/>
    <mergeCell ref="G68:G69"/>
  </mergeCells>
  <conditionalFormatting sqref="J37:J116">
    <cfRule type="colorScale" priority="13">
      <colorScale>
        <cfvo type="num" val="0"/>
        <cfvo type="num" val="0.5"/>
        <cfvo type="num" val="1"/>
        <color rgb="FFFF7128"/>
        <color rgb="FFFFEB84"/>
        <color rgb="FF92D050"/>
      </colorScale>
    </cfRule>
  </conditionalFormatting>
  <conditionalFormatting sqref="L37:L116 N37:N116 P37:P116">
    <cfRule type="colorScale" priority="12">
      <colorScale>
        <cfvo type="num" val="0"/>
        <cfvo type="num" val="3.472222222222222E-3"/>
        <cfvo type="num" val="1"/>
        <color rgb="FFFF7128"/>
        <color rgb="FFFFEB84"/>
        <color rgb="FF92D050"/>
      </colorScale>
    </cfRule>
  </conditionalFormatting>
  <conditionalFormatting sqref="J9:J36">
    <cfRule type="colorScale" priority="2">
      <colorScale>
        <cfvo type="num" val="0"/>
        <cfvo type="num" val="0.5"/>
        <cfvo type="num" val="1"/>
        <color rgb="FFFF7128"/>
        <color rgb="FFFFEB84"/>
        <color rgb="FF92D050"/>
      </colorScale>
    </cfRule>
  </conditionalFormatting>
  <conditionalFormatting sqref="L9:L36 N9:N36 P9:P36">
    <cfRule type="colorScale" priority="1">
      <colorScale>
        <cfvo type="num" val="0"/>
        <cfvo type="num" val="3.472222222222222E-3"/>
        <cfvo type="num" val="1"/>
        <color rgb="FFFF7128"/>
        <color rgb="FFFFEB84"/>
        <color rgb="FF92D050"/>
      </colorScale>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514"/>
  <sheetViews>
    <sheetView zoomScaleNormal="100" workbookViewId="0">
      <selection activeCell="C325" sqref="C325"/>
    </sheetView>
  </sheetViews>
  <sheetFormatPr defaultColWidth="9.2109375" defaultRowHeight="11.5" x14ac:dyDescent="0.25"/>
  <cols>
    <col min="1" max="1" width="15.7109375" style="49" bestFit="1" customWidth="1"/>
    <col min="2" max="2" width="55.78515625" style="49" customWidth="1"/>
    <col min="3" max="3" width="56" style="49" customWidth="1"/>
    <col min="4" max="4" width="75.640625" style="53" customWidth="1"/>
    <col min="5" max="7" width="17.42578125" style="49" customWidth="1"/>
    <col min="8" max="16384" width="9.2109375" style="49"/>
  </cols>
  <sheetData>
    <row r="1" spans="1:5" x14ac:dyDescent="0.25">
      <c r="A1" s="107" t="s">
        <v>452</v>
      </c>
      <c r="B1" s="105" t="s">
        <v>1276</v>
      </c>
      <c r="C1" s="105" t="s">
        <v>1275</v>
      </c>
      <c r="D1" s="105" t="s">
        <v>1277</v>
      </c>
      <c r="E1" s="723" t="s">
        <v>2638</v>
      </c>
    </row>
    <row r="2" spans="1:5" x14ac:dyDescent="0.25">
      <c r="A2" s="257" t="s">
        <v>64</v>
      </c>
      <c r="B2" s="49" t="s">
        <v>562</v>
      </c>
      <c r="C2" s="105" t="s">
        <v>1623</v>
      </c>
      <c r="D2" s="106" t="s">
        <v>1852</v>
      </c>
    </row>
    <row r="3" spans="1:5" ht="69" x14ac:dyDescent="0.25">
      <c r="A3" s="257" t="s">
        <v>563</v>
      </c>
      <c r="B3" s="49" t="s">
        <v>564</v>
      </c>
      <c r="C3" s="49" t="s">
        <v>2534</v>
      </c>
      <c r="D3" s="106" t="s">
        <v>1853</v>
      </c>
    </row>
    <row r="4" spans="1:5" x14ac:dyDescent="0.25">
      <c r="A4" s="257" t="s">
        <v>66</v>
      </c>
      <c r="B4" s="49" t="s">
        <v>565</v>
      </c>
      <c r="C4" s="105" t="s">
        <v>2391</v>
      </c>
      <c r="D4" s="106" t="s">
        <v>1854</v>
      </c>
    </row>
    <row r="5" spans="1:5" ht="92" x14ac:dyDescent="0.25">
      <c r="A5" s="257" t="s">
        <v>566</v>
      </c>
      <c r="B5" s="49" t="s">
        <v>567</v>
      </c>
      <c r="C5" s="49" t="s">
        <v>2535</v>
      </c>
      <c r="D5" s="106" t="s">
        <v>1855</v>
      </c>
    </row>
    <row r="6" spans="1:5" ht="34.5" x14ac:dyDescent="0.25">
      <c r="A6" s="257" t="s">
        <v>161</v>
      </c>
      <c r="B6" s="49" t="s">
        <v>568</v>
      </c>
      <c r="C6" s="49" t="s">
        <v>2536</v>
      </c>
      <c r="D6" s="106" t="s">
        <v>1856</v>
      </c>
    </row>
    <row r="7" spans="1:5" ht="34.5" x14ac:dyDescent="0.25">
      <c r="A7" s="257" t="s">
        <v>163</v>
      </c>
      <c r="B7" s="49" t="s">
        <v>569</v>
      </c>
      <c r="C7" s="49" t="s">
        <v>2392</v>
      </c>
      <c r="D7" s="106" t="s">
        <v>1857</v>
      </c>
    </row>
    <row r="8" spans="1:5" ht="23" x14ac:dyDescent="0.25">
      <c r="A8" s="257" t="s">
        <v>164</v>
      </c>
      <c r="B8" s="49" t="s">
        <v>570</v>
      </c>
      <c r="C8" s="49" t="s">
        <v>1664</v>
      </c>
      <c r="D8" s="106" t="s">
        <v>1858</v>
      </c>
    </row>
    <row r="9" spans="1:5" ht="23" x14ac:dyDescent="0.25">
      <c r="A9" s="257" t="s">
        <v>165</v>
      </c>
      <c r="B9" s="49" t="s">
        <v>571</v>
      </c>
      <c r="C9" s="49" t="s">
        <v>2393</v>
      </c>
      <c r="D9" s="106" t="s">
        <v>1859</v>
      </c>
    </row>
    <row r="10" spans="1:5" ht="34.5" x14ac:dyDescent="0.25">
      <c r="A10" s="257" t="s">
        <v>166</v>
      </c>
      <c r="B10" s="49" t="s">
        <v>572</v>
      </c>
      <c r="C10" s="49" t="s">
        <v>2394</v>
      </c>
      <c r="D10" s="106" t="s">
        <v>1860</v>
      </c>
    </row>
    <row r="11" spans="1:5" ht="23" x14ac:dyDescent="0.25">
      <c r="A11" s="257" t="s">
        <v>167</v>
      </c>
      <c r="B11" s="49" t="s">
        <v>573</v>
      </c>
      <c r="C11" s="49" t="s">
        <v>1750</v>
      </c>
      <c r="D11" s="106" t="s">
        <v>1861</v>
      </c>
    </row>
    <row r="12" spans="1:5" ht="46" x14ac:dyDescent="0.25">
      <c r="A12" s="257" t="s">
        <v>168</v>
      </c>
      <c r="B12" s="49" t="s">
        <v>574</v>
      </c>
      <c r="C12" s="49" t="s">
        <v>2396</v>
      </c>
      <c r="D12" s="106" t="s">
        <v>1862</v>
      </c>
    </row>
    <row r="13" spans="1:5" x14ac:dyDescent="0.25">
      <c r="A13" s="257" t="s">
        <v>68</v>
      </c>
      <c r="B13" s="49" t="s">
        <v>575</v>
      </c>
      <c r="C13" s="105" t="s">
        <v>1624</v>
      </c>
      <c r="D13" s="106" t="s">
        <v>1863</v>
      </c>
    </row>
    <row r="14" spans="1:5" ht="126.5" x14ac:dyDescent="0.25">
      <c r="A14" s="257" t="s">
        <v>576</v>
      </c>
      <c r="B14" s="49" t="s">
        <v>577</v>
      </c>
      <c r="C14" s="49" t="s">
        <v>2537</v>
      </c>
      <c r="D14" s="106" t="s">
        <v>1864</v>
      </c>
    </row>
    <row r="15" spans="1:5" ht="46" x14ac:dyDescent="0.25">
      <c r="A15" s="257" t="s">
        <v>169</v>
      </c>
      <c r="B15" s="49" t="s">
        <v>578</v>
      </c>
      <c r="C15" s="49" t="s">
        <v>2395</v>
      </c>
      <c r="D15" s="106" t="s">
        <v>1865</v>
      </c>
    </row>
    <row r="16" spans="1:5" ht="23" x14ac:dyDescent="0.25">
      <c r="A16" s="257" t="s">
        <v>170</v>
      </c>
      <c r="B16" s="49" t="s">
        <v>579</v>
      </c>
      <c r="C16" s="49" t="s">
        <v>2538</v>
      </c>
      <c r="D16" s="106" t="s">
        <v>1866</v>
      </c>
    </row>
    <row r="17" spans="1:4" ht="23" x14ac:dyDescent="0.25">
      <c r="A17" s="257" t="s">
        <v>171</v>
      </c>
      <c r="B17" s="49" t="s">
        <v>580</v>
      </c>
      <c r="C17" s="49" t="s">
        <v>1665</v>
      </c>
      <c r="D17" s="106" t="s">
        <v>1867</v>
      </c>
    </row>
    <row r="18" spans="1:4" ht="23" x14ac:dyDescent="0.25">
      <c r="A18" s="257" t="s">
        <v>172</v>
      </c>
      <c r="B18" s="49" t="s">
        <v>581</v>
      </c>
      <c r="C18" s="49" t="s">
        <v>1667</v>
      </c>
      <c r="D18" s="106" t="s">
        <v>1868</v>
      </c>
    </row>
    <row r="19" spans="1:4" x14ac:dyDescent="0.25">
      <c r="A19" s="257" t="s">
        <v>173</v>
      </c>
      <c r="B19" s="49" t="s">
        <v>582</v>
      </c>
      <c r="C19" s="49" t="s">
        <v>1668</v>
      </c>
      <c r="D19" s="106" t="s">
        <v>1869</v>
      </c>
    </row>
    <row r="20" spans="1:4" ht="34.5" x14ac:dyDescent="0.25">
      <c r="A20" s="257" t="s">
        <v>174</v>
      </c>
      <c r="B20" s="49" t="s">
        <v>1622</v>
      </c>
      <c r="C20" s="49" t="s">
        <v>583</v>
      </c>
      <c r="D20" s="106" t="s">
        <v>1870</v>
      </c>
    </row>
    <row r="21" spans="1:4" s="53" customFormat="1" ht="34.5" x14ac:dyDescent="0.25">
      <c r="A21" s="257" t="s">
        <v>175</v>
      </c>
      <c r="B21" s="49" t="s">
        <v>584</v>
      </c>
      <c r="C21" s="49" t="s">
        <v>2539</v>
      </c>
      <c r="D21" s="106" t="s">
        <v>1871</v>
      </c>
    </row>
    <row r="22" spans="1:4" ht="23" x14ac:dyDescent="0.25">
      <c r="A22" s="257" t="s">
        <v>177</v>
      </c>
      <c r="B22" s="49" t="s">
        <v>585</v>
      </c>
      <c r="C22" s="49" t="s">
        <v>1669</v>
      </c>
      <c r="D22" s="106" t="s">
        <v>2223</v>
      </c>
    </row>
    <row r="23" spans="1:4" s="53" customFormat="1" x14ac:dyDescent="0.25">
      <c r="A23" s="257" t="s">
        <v>71</v>
      </c>
      <c r="B23" s="49" t="s">
        <v>481</v>
      </c>
      <c r="C23" s="105" t="s">
        <v>1758</v>
      </c>
      <c r="D23" s="106" t="s">
        <v>1872</v>
      </c>
    </row>
    <row r="24" spans="1:4" ht="69" x14ac:dyDescent="0.25">
      <c r="A24" s="257" t="s">
        <v>586</v>
      </c>
      <c r="B24" s="49" t="s">
        <v>483</v>
      </c>
      <c r="C24" s="49" t="s">
        <v>2565</v>
      </c>
      <c r="D24" s="106" t="s">
        <v>1873</v>
      </c>
    </row>
    <row r="25" spans="1:4" ht="23" x14ac:dyDescent="0.25">
      <c r="A25" s="257" t="s">
        <v>179</v>
      </c>
      <c r="B25" s="49" t="s">
        <v>587</v>
      </c>
      <c r="C25" s="49" t="s">
        <v>1759</v>
      </c>
      <c r="D25" s="106" t="s">
        <v>1874</v>
      </c>
    </row>
    <row r="26" spans="1:4" ht="23" x14ac:dyDescent="0.25">
      <c r="A26" s="257" t="s">
        <v>180</v>
      </c>
      <c r="B26" s="49" t="s">
        <v>588</v>
      </c>
      <c r="C26" s="49" t="s">
        <v>1761</v>
      </c>
      <c r="D26" s="106" t="s">
        <v>1875</v>
      </c>
    </row>
    <row r="27" spans="1:4" ht="23" x14ac:dyDescent="0.25">
      <c r="A27" s="257" t="s">
        <v>181</v>
      </c>
      <c r="B27" s="49" t="s">
        <v>589</v>
      </c>
      <c r="C27" s="49" t="s">
        <v>1760</v>
      </c>
      <c r="D27" s="106" t="s">
        <v>1876</v>
      </c>
    </row>
    <row r="28" spans="1:4" ht="23" x14ac:dyDescent="0.25">
      <c r="A28" s="257" t="s">
        <v>182</v>
      </c>
      <c r="B28" s="49" t="s">
        <v>590</v>
      </c>
      <c r="C28" s="49" t="s">
        <v>2323</v>
      </c>
      <c r="D28" s="106" t="s">
        <v>1877</v>
      </c>
    </row>
    <row r="29" spans="1:4" ht="34.5" x14ac:dyDescent="0.25">
      <c r="A29" s="257" t="s">
        <v>183</v>
      </c>
      <c r="B29" s="49" t="s">
        <v>591</v>
      </c>
      <c r="C29" s="49" t="s">
        <v>2333</v>
      </c>
      <c r="D29" s="106" t="s">
        <v>1878</v>
      </c>
    </row>
    <row r="30" spans="1:4" ht="23" x14ac:dyDescent="0.25">
      <c r="A30" s="257" t="s">
        <v>184</v>
      </c>
      <c r="B30" s="49" t="s">
        <v>592</v>
      </c>
      <c r="C30" s="49" t="s">
        <v>1762</v>
      </c>
      <c r="D30" s="106" t="s">
        <v>1879</v>
      </c>
    </row>
    <row r="31" spans="1:4" ht="23" x14ac:dyDescent="0.25">
      <c r="A31" s="257" t="s">
        <v>185</v>
      </c>
      <c r="B31" s="49" t="s">
        <v>593</v>
      </c>
      <c r="C31" s="49" t="s">
        <v>2343</v>
      </c>
      <c r="D31" s="106" t="s">
        <v>1880</v>
      </c>
    </row>
    <row r="32" spans="1:4" s="53" customFormat="1" x14ac:dyDescent="0.25">
      <c r="A32" s="257" t="s">
        <v>83</v>
      </c>
      <c r="B32" s="49" t="s">
        <v>631</v>
      </c>
      <c r="C32" s="105" t="s">
        <v>632</v>
      </c>
      <c r="D32" s="106" t="s">
        <v>1881</v>
      </c>
    </row>
    <row r="33" spans="1:4" ht="69" x14ac:dyDescent="0.25">
      <c r="A33" s="257" t="s">
        <v>633</v>
      </c>
      <c r="B33" s="49" t="s">
        <v>634</v>
      </c>
      <c r="C33" s="49" t="s">
        <v>2540</v>
      </c>
      <c r="D33" s="106" t="s">
        <v>1882</v>
      </c>
    </row>
    <row r="34" spans="1:4" x14ac:dyDescent="0.25">
      <c r="A34" s="257" t="s">
        <v>124</v>
      </c>
      <c r="B34" s="49" t="s">
        <v>635</v>
      </c>
      <c r="C34" s="105" t="s">
        <v>2437</v>
      </c>
      <c r="D34" s="106" t="s">
        <v>1883</v>
      </c>
    </row>
    <row r="35" spans="1:4" ht="126.5" x14ac:dyDescent="0.25">
      <c r="A35" s="257" t="s">
        <v>636</v>
      </c>
      <c r="B35" s="49" t="s">
        <v>971</v>
      </c>
      <c r="C35" s="49" t="s">
        <v>2541</v>
      </c>
      <c r="D35" s="106" t="s">
        <v>1884</v>
      </c>
    </row>
    <row r="36" spans="1:4" ht="34.5" x14ac:dyDescent="0.25">
      <c r="A36" s="257" t="s">
        <v>349</v>
      </c>
      <c r="B36" s="49" t="s">
        <v>637</v>
      </c>
      <c r="C36" s="49" t="s">
        <v>1670</v>
      </c>
      <c r="D36" s="106" t="s">
        <v>1885</v>
      </c>
    </row>
    <row r="37" spans="1:4" ht="46" x14ac:dyDescent="0.25">
      <c r="A37" s="257" t="s">
        <v>350</v>
      </c>
      <c r="B37" s="49" t="s">
        <v>638</v>
      </c>
      <c r="C37" s="49" t="s">
        <v>1672</v>
      </c>
      <c r="D37" s="106" t="s">
        <v>1886</v>
      </c>
    </row>
    <row r="38" spans="1:4" ht="34.5" x14ac:dyDescent="0.25">
      <c r="A38" s="257" t="s">
        <v>351</v>
      </c>
      <c r="B38" s="49" t="s">
        <v>639</v>
      </c>
      <c r="C38" s="49" t="s">
        <v>1671</v>
      </c>
      <c r="D38" s="106" t="s">
        <v>1887</v>
      </c>
    </row>
    <row r="39" spans="1:4" ht="46" x14ac:dyDescent="0.25">
      <c r="A39" s="257" t="s">
        <v>352</v>
      </c>
      <c r="B39" s="49" t="s">
        <v>640</v>
      </c>
      <c r="C39" s="49" t="s">
        <v>2438</v>
      </c>
      <c r="D39" s="106" t="s">
        <v>1888</v>
      </c>
    </row>
    <row r="40" spans="1:4" ht="23" x14ac:dyDescent="0.25">
      <c r="A40" s="257" t="s">
        <v>353</v>
      </c>
      <c r="B40" s="49" t="s">
        <v>641</v>
      </c>
      <c r="C40" s="49" t="s">
        <v>1673</v>
      </c>
      <c r="D40" s="106" t="s">
        <v>1889</v>
      </c>
    </row>
    <row r="41" spans="1:4" ht="34.5" x14ac:dyDescent="0.25">
      <c r="A41" s="257" t="s">
        <v>354</v>
      </c>
      <c r="B41" s="49" t="s">
        <v>642</v>
      </c>
      <c r="C41" s="49" t="s">
        <v>2542</v>
      </c>
      <c r="D41" s="106" t="s">
        <v>1890</v>
      </c>
    </row>
    <row r="42" spans="1:4" s="53" customFormat="1" ht="34.5" x14ac:dyDescent="0.25">
      <c r="A42" s="257" t="s">
        <v>355</v>
      </c>
      <c r="B42" s="49" t="s">
        <v>643</v>
      </c>
      <c r="C42" s="49" t="s">
        <v>2543</v>
      </c>
      <c r="D42" s="106" t="s">
        <v>1891</v>
      </c>
    </row>
    <row r="43" spans="1:4" ht="46" x14ac:dyDescent="0.25">
      <c r="A43" s="257" t="s">
        <v>356</v>
      </c>
      <c r="B43" s="49" t="s">
        <v>644</v>
      </c>
      <c r="C43" s="49" t="s">
        <v>2544</v>
      </c>
      <c r="D43" s="106" t="s">
        <v>1892</v>
      </c>
    </row>
    <row r="44" spans="1:4" ht="34.5" x14ac:dyDescent="0.25">
      <c r="A44" s="257" t="s">
        <v>357</v>
      </c>
      <c r="B44" s="49" t="s">
        <v>645</v>
      </c>
      <c r="C44" s="49" t="s">
        <v>2545</v>
      </c>
      <c r="D44" s="106" t="s">
        <v>1893</v>
      </c>
    </row>
    <row r="45" spans="1:4" x14ac:dyDescent="0.25">
      <c r="A45" s="257" t="s">
        <v>127</v>
      </c>
      <c r="B45" s="49" t="s">
        <v>646</v>
      </c>
      <c r="C45" s="105" t="s">
        <v>1650</v>
      </c>
      <c r="D45" s="106" t="s">
        <v>1894</v>
      </c>
    </row>
    <row r="46" spans="1:4" ht="34.5" x14ac:dyDescent="0.25">
      <c r="A46" s="257" t="s">
        <v>647</v>
      </c>
      <c r="B46" s="49" t="s">
        <v>972</v>
      </c>
      <c r="C46" s="49" t="s">
        <v>1763</v>
      </c>
      <c r="D46" s="106" t="s">
        <v>2224</v>
      </c>
    </row>
    <row r="47" spans="1:4" ht="57.5" x14ac:dyDescent="0.25">
      <c r="A47" s="257" t="s">
        <v>358</v>
      </c>
      <c r="B47" s="49" t="s">
        <v>648</v>
      </c>
      <c r="C47" s="49" t="s">
        <v>2546</v>
      </c>
      <c r="D47" s="106" t="s">
        <v>1895</v>
      </c>
    </row>
    <row r="48" spans="1:4" ht="46" x14ac:dyDescent="0.25">
      <c r="A48" s="257" t="s">
        <v>359</v>
      </c>
      <c r="B48" s="49" t="s">
        <v>649</v>
      </c>
      <c r="C48" s="49" t="s">
        <v>1674</v>
      </c>
      <c r="D48" s="106" t="s">
        <v>1896</v>
      </c>
    </row>
    <row r="49" spans="1:4" ht="23" x14ac:dyDescent="0.25">
      <c r="A49" s="257" t="s">
        <v>360</v>
      </c>
      <c r="B49" s="49" t="s">
        <v>650</v>
      </c>
      <c r="C49" s="49" t="s">
        <v>1675</v>
      </c>
      <c r="D49" s="106" t="s">
        <v>1897</v>
      </c>
    </row>
    <row r="50" spans="1:4" x14ac:dyDescent="0.25">
      <c r="A50" s="257" t="s">
        <v>130</v>
      </c>
      <c r="B50" s="49" t="s">
        <v>651</v>
      </c>
      <c r="C50" s="105" t="s">
        <v>1651</v>
      </c>
      <c r="D50" s="106" t="s">
        <v>1898</v>
      </c>
    </row>
    <row r="51" spans="1:4" ht="46" x14ac:dyDescent="0.25">
      <c r="A51" s="257" t="s">
        <v>652</v>
      </c>
      <c r="B51" s="49" t="s">
        <v>973</v>
      </c>
      <c r="C51" s="49" t="s">
        <v>1764</v>
      </c>
      <c r="D51" s="106" t="s">
        <v>1899</v>
      </c>
    </row>
    <row r="52" spans="1:4" ht="34.5" x14ac:dyDescent="0.25">
      <c r="A52" s="257" t="s">
        <v>361</v>
      </c>
      <c r="B52" s="49" t="s">
        <v>653</v>
      </c>
      <c r="C52" s="49" t="s">
        <v>2439</v>
      </c>
      <c r="D52" s="106" t="s">
        <v>1900</v>
      </c>
    </row>
    <row r="53" spans="1:4" ht="57.5" x14ac:dyDescent="0.25">
      <c r="A53" s="257" t="s">
        <v>362</v>
      </c>
      <c r="B53" s="49" t="s">
        <v>654</v>
      </c>
      <c r="C53" s="49" t="s">
        <v>1740</v>
      </c>
      <c r="D53" s="106" t="s">
        <v>1901</v>
      </c>
    </row>
    <row r="54" spans="1:4" ht="23" x14ac:dyDescent="0.25">
      <c r="A54" s="257" t="s">
        <v>363</v>
      </c>
      <c r="B54" s="49" t="s">
        <v>655</v>
      </c>
      <c r="C54" s="49" t="s">
        <v>1676</v>
      </c>
      <c r="D54" s="106" t="s">
        <v>1902</v>
      </c>
    </row>
    <row r="55" spans="1:4" ht="57.5" x14ac:dyDescent="0.25">
      <c r="A55" s="257" t="s">
        <v>364</v>
      </c>
      <c r="B55" s="49" t="s">
        <v>656</v>
      </c>
      <c r="C55" s="49" t="s">
        <v>1751</v>
      </c>
      <c r="D55" s="106" t="s">
        <v>1903</v>
      </c>
    </row>
    <row r="56" spans="1:4" x14ac:dyDescent="0.25">
      <c r="A56" s="257" t="s">
        <v>133</v>
      </c>
      <c r="B56" s="49" t="s">
        <v>657</v>
      </c>
      <c r="C56" s="105" t="s">
        <v>1652</v>
      </c>
      <c r="D56" s="106" t="s">
        <v>1904</v>
      </c>
    </row>
    <row r="57" spans="1:4" ht="34.5" x14ac:dyDescent="0.25">
      <c r="A57" s="257" t="s">
        <v>658</v>
      </c>
      <c r="B57" s="49" t="s">
        <v>974</v>
      </c>
      <c r="C57" s="49" t="s">
        <v>1765</v>
      </c>
      <c r="D57" s="106" t="s">
        <v>1905</v>
      </c>
    </row>
    <row r="58" spans="1:4" ht="46" x14ac:dyDescent="0.25">
      <c r="A58" s="257" t="s">
        <v>365</v>
      </c>
      <c r="B58" s="49" t="s">
        <v>659</v>
      </c>
      <c r="C58" s="49" t="s">
        <v>2564</v>
      </c>
      <c r="D58" s="106" t="s">
        <v>1906</v>
      </c>
    </row>
    <row r="59" spans="1:4" ht="34.5" x14ac:dyDescent="0.25">
      <c r="A59" s="257" t="s">
        <v>366</v>
      </c>
      <c r="B59" s="49" t="s">
        <v>660</v>
      </c>
      <c r="C59" s="49" t="s">
        <v>1677</v>
      </c>
      <c r="D59" s="106" t="s">
        <v>1907</v>
      </c>
    </row>
    <row r="60" spans="1:4" ht="34.5" x14ac:dyDescent="0.25">
      <c r="A60" s="257" t="s">
        <v>367</v>
      </c>
      <c r="B60" s="49" t="s">
        <v>661</v>
      </c>
      <c r="C60" s="49" t="s">
        <v>1616</v>
      </c>
      <c r="D60" s="106" t="s">
        <v>1908</v>
      </c>
    </row>
    <row r="61" spans="1:4" ht="34.5" x14ac:dyDescent="0.25">
      <c r="A61" s="257" t="s">
        <v>368</v>
      </c>
      <c r="B61" s="49" t="s">
        <v>662</v>
      </c>
      <c r="C61" s="49" t="s">
        <v>1678</v>
      </c>
      <c r="D61" s="106" t="s">
        <v>1909</v>
      </c>
    </row>
    <row r="62" spans="1:4" ht="46" x14ac:dyDescent="0.25">
      <c r="A62" s="257" t="s">
        <v>369</v>
      </c>
      <c r="B62" s="49" t="s">
        <v>663</v>
      </c>
      <c r="C62" s="49" t="s">
        <v>1679</v>
      </c>
      <c r="D62" s="106" t="s">
        <v>1910</v>
      </c>
    </row>
    <row r="63" spans="1:4" ht="34.5" x14ac:dyDescent="0.25">
      <c r="A63" s="257" t="s">
        <v>370</v>
      </c>
      <c r="B63" s="49" t="s">
        <v>664</v>
      </c>
      <c r="C63" s="49" t="s">
        <v>1680</v>
      </c>
      <c r="D63" s="106" t="s">
        <v>1911</v>
      </c>
    </row>
    <row r="64" spans="1:4" s="53" customFormat="1" ht="34.5" x14ac:dyDescent="0.25">
      <c r="A64" s="257" t="s">
        <v>371</v>
      </c>
      <c r="B64" s="49" t="s">
        <v>665</v>
      </c>
      <c r="C64" s="49" t="s">
        <v>1681</v>
      </c>
      <c r="D64" s="106" t="s">
        <v>1912</v>
      </c>
    </row>
    <row r="65" spans="1:4" ht="34.5" x14ac:dyDescent="0.25">
      <c r="A65" s="257" t="s">
        <v>372</v>
      </c>
      <c r="B65" s="49" t="s">
        <v>666</v>
      </c>
      <c r="C65" s="49" t="s">
        <v>1754</v>
      </c>
      <c r="D65" s="106" t="s">
        <v>1913</v>
      </c>
    </row>
    <row r="66" spans="1:4" ht="23" x14ac:dyDescent="0.25">
      <c r="A66" s="257" t="s">
        <v>374</v>
      </c>
      <c r="B66" s="49" t="s">
        <v>667</v>
      </c>
      <c r="C66" s="49" t="s">
        <v>1682</v>
      </c>
      <c r="D66" s="106" t="s">
        <v>1914</v>
      </c>
    </row>
    <row r="67" spans="1:4" x14ac:dyDescent="0.25">
      <c r="A67" s="257" t="s">
        <v>136</v>
      </c>
      <c r="B67" s="49" t="s">
        <v>481</v>
      </c>
      <c r="C67" s="105" t="s">
        <v>1758</v>
      </c>
      <c r="D67" s="106" t="s">
        <v>1872</v>
      </c>
    </row>
    <row r="68" spans="1:4" ht="69" x14ac:dyDescent="0.25">
      <c r="A68" s="257" t="s">
        <v>668</v>
      </c>
      <c r="B68" s="49" t="s">
        <v>483</v>
      </c>
      <c r="C68" s="49" t="s">
        <v>2565</v>
      </c>
      <c r="D68" s="106" t="s">
        <v>1873</v>
      </c>
    </row>
    <row r="69" spans="1:4" s="53" customFormat="1" ht="23" x14ac:dyDescent="0.25">
      <c r="A69" s="257" t="s">
        <v>376</v>
      </c>
      <c r="B69" s="49" t="s">
        <v>669</v>
      </c>
      <c r="C69" s="49" t="s">
        <v>1766</v>
      </c>
      <c r="D69" s="106" t="s">
        <v>1915</v>
      </c>
    </row>
    <row r="70" spans="1:4" ht="23" x14ac:dyDescent="0.25">
      <c r="A70" s="257" t="s">
        <v>377</v>
      </c>
      <c r="B70" s="49" t="s">
        <v>670</v>
      </c>
      <c r="C70" s="49" t="s">
        <v>1767</v>
      </c>
      <c r="D70" s="106" t="s">
        <v>1916</v>
      </c>
    </row>
    <row r="71" spans="1:4" ht="23" x14ac:dyDescent="0.25">
      <c r="A71" s="257" t="s">
        <v>378</v>
      </c>
      <c r="B71" s="49" t="s">
        <v>671</v>
      </c>
      <c r="C71" s="49" t="s">
        <v>1768</v>
      </c>
      <c r="D71" s="106" t="s">
        <v>1917</v>
      </c>
    </row>
    <row r="72" spans="1:4" ht="23" x14ac:dyDescent="0.25">
      <c r="A72" s="257" t="s">
        <v>379</v>
      </c>
      <c r="B72" s="49" t="s">
        <v>672</v>
      </c>
      <c r="C72" s="49" t="s">
        <v>2324</v>
      </c>
      <c r="D72" s="106" t="s">
        <v>1918</v>
      </c>
    </row>
    <row r="73" spans="1:4" ht="34.5" x14ac:dyDescent="0.25">
      <c r="A73" s="257" t="s">
        <v>380</v>
      </c>
      <c r="B73" s="49" t="s">
        <v>673</v>
      </c>
      <c r="C73" s="49" t="s">
        <v>2334</v>
      </c>
      <c r="D73" s="106" t="s">
        <v>1919</v>
      </c>
    </row>
    <row r="74" spans="1:4" ht="23" x14ac:dyDescent="0.25">
      <c r="A74" s="257" t="s">
        <v>381</v>
      </c>
      <c r="B74" s="49" t="s">
        <v>674</v>
      </c>
      <c r="C74" s="49" t="s">
        <v>1769</v>
      </c>
      <c r="D74" s="106" t="s">
        <v>1920</v>
      </c>
    </row>
    <row r="75" spans="1:4" ht="23" x14ac:dyDescent="0.25">
      <c r="A75" s="257" t="s">
        <v>382</v>
      </c>
      <c r="B75" s="49" t="s">
        <v>675</v>
      </c>
      <c r="C75" s="49" t="s">
        <v>2344</v>
      </c>
      <c r="D75" s="106" t="s">
        <v>1921</v>
      </c>
    </row>
    <row r="76" spans="1:4" x14ac:dyDescent="0.25">
      <c r="A76" s="257" t="s">
        <v>51</v>
      </c>
      <c r="B76" s="49" t="s">
        <v>515</v>
      </c>
      <c r="C76" s="105" t="s">
        <v>1649</v>
      </c>
      <c r="D76" s="106" t="s">
        <v>1922</v>
      </c>
    </row>
    <row r="77" spans="1:4" ht="80.5" x14ac:dyDescent="0.25">
      <c r="A77" s="257" t="s">
        <v>516</v>
      </c>
      <c r="B77" s="49" t="s">
        <v>517</v>
      </c>
      <c r="C77" s="49" t="s">
        <v>2374</v>
      </c>
      <c r="D77" s="106" t="s">
        <v>1923</v>
      </c>
    </row>
    <row r="78" spans="1:4" x14ac:dyDescent="0.25">
      <c r="A78" s="257" t="s">
        <v>53</v>
      </c>
      <c r="B78" s="49" t="s">
        <v>518</v>
      </c>
      <c r="C78" s="105" t="s">
        <v>1684</v>
      </c>
      <c r="D78" s="106" t="s">
        <v>1924</v>
      </c>
    </row>
    <row r="79" spans="1:4" ht="80.5" x14ac:dyDescent="0.25">
      <c r="A79" s="257" t="s">
        <v>519</v>
      </c>
      <c r="B79" s="49" t="s">
        <v>520</v>
      </c>
      <c r="C79" s="49" t="s">
        <v>2375</v>
      </c>
      <c r="D79" s="106" t="s">
        <v>1925</v>
      </c>
    </row>
    <row r="80" spans="1:4" ht="34.5" x14ac:dyDescent="0.25">
      <c r="A80" s="257" t="s">
        <v>92</v>
      </c>
      <c r="B80" s="49" t="s">
        <v>521</v>
      </c>
      <c r="C80" s="49" t="s">
        <v>2382</v>
      </c>
      <c r="D80" s="106" t="s">
        <v>1926</v>
      </c>
    </row>
    <row r="81" spans="1:4" ht="69" x14ac:dyDescent="0.25">
      <c r="A81" s="257" t="s">
        <v>94</v>
      </c>
      <c r="B81" s="49" t="s">
        <v>522</v>
      </c>
      <c r="C81" s="49" t="s">
        <v>2376</v>
      </c>
      <c r="D81" s="106" t="s">
        <v>1927</v>
      </c>
    </row>
    <row r="82" spans="1:4" ht="23" x14ac:dyDescent="0.25">
      <c r="A82" s="257" t="s">
        <v>95</v>
      </c>
      <c r="B82" s="49" t="s">
        <v>523</v>
      </c>
      <c r="C82" s="49" t="s">
        <v>2566</v>
      </c>
      <c r="D82" s="106" t="s">
        <v>1928</v>
      </c>
    </row>
    <row r="83" spans="1:4" ht="23" x14ac:dyDescent="0.25">
      <c r="A83" s="257" t="s">
        <v>97</v>
      </c>
      <c r="B83" s="49" t="s">
        <v>524</v>
      </c>
      <c r="C83" s="49" t="s">
        <v>2383</v>
      </c>
      <c r="D83" s="106" t="s">
        <v>1929</v>
      </c>
    </row>
    <row r="84" spans="1:4" ht="23" x14ac:dyDescent="0.25">
      <c r="A84" s="257" t="s">
        <v>99</v>
      </c>
      <c r="B84" s="49" t="s">
        <v>525</v>
      </c>
      <c r="C84" s="49" t="s">
        <v>2377</v>
      </c>
      <c r="D84" s="106" t="s">
        <v>1930</v>
      </c>
    </row>
    <row r="85" spans="1:4" ht="34.5" x14ac:dyDescent="0.25">
      <c r="A85" s="257" t="s">
        <v>101</v>
      </c>
      <c r="B85" s="49" t="s">
        <v>526</v>
      </c>
      <c r="C85" s="49" t="s">
        <v>2378</v>
      </c>
      <c r="D85" s="106" t="s">
        <v>1931</v>
      </c>
    </row>
    <row r="86" spans="1:4" s="53" customFormat="1" x14ac:dyDescent="0.25">
      <c r="A86" s="257" t="s">
        <v>55</v>
      </c>
      <c r="B86" s="49" t="s">
        <v>527</v>
      </c>
      <c r="C86" s="105" t="s">
        <v>1653</v>
      </c>
      <c r="D86" s="106" t="s">
        <v>1932</v>
      </c>
    </row>
    <row r="87" spans="1:4" ht="57.5" x14ac:dyDescent="0.25">
      <c r="A87" s="257" t="s">
        <v>528</v>
      </c>
      <c r="B87" s="49" t="s">
        <v>520</v>
      </c>
      <c r="C87" s="49" t="s">
        <v>2379</v>
      </c>
      <c r="D87" s="106" t="s">
        <v>1933</v>
      </c>
    </row>
    <row r="88" spans="1:4" ht="57.5" x14ac:dyDescent="0.25">
      <c r="A88" s="257" t="s">
        <v>103</v>
      </c>
      <c r="B88" s="49" t="s">
        <v>529</v>
      </c>
      <c r="C88" s="49" t="s">
        <v>2380</v>
      </c>
      <c r="D88" s="106" t="s">
        <v>1934</v>
      </c>
    </row>
    <row r="89" spans="1:4" ht="57.5" x14ac:dyDescent="0.25">
      <c r="A89" s="257" t="s">
        <v>104</v>
      </c>
      <c r="B89" s="49" t="s">
        <v>530</v>
      </c>
      <c r="C89" s="49" t="s">
        <v>2381</v>
      </c>
      <c r="D89" s="106" t="s">
        <v>1935</v>
      </c>
    </row>
    <row r="90" spans="1:4" x14ac:dyDescent="0.25">
      <c r="A90" s="257" t="s">
        <v>106</v>
      </c>
      <c r="B90" s="49" t="s">
        <v>531</v>
      </c>
      <c r="C90" s="49" t="s">
        <v>2385</v>
      </c>
      <c r="D90" s="106" t="s">
        <v>1936</v>
      </c>
    </row>
    <row r="91" spans="1:4" ht="23" x14ac:dyDescent="0.25">
      <c r="A91" s="257" t="s">
        <v>108</v>
      </c>
      <c r="B91" s="49" t="s">
        <v>532</v>
      </c>
      <c r="C91" s="49" t="s">
        <v>2384</v>
      </c>
      <c r="D91" s="106" t="s">
        <v>1937</v>
      </c>
    </row>
    <row r="92" spans="1:4" ht="23" x14ac:dyDescent="0.25">
      <c r="A92" s="257" t="s">
        <v>110</v>
      </c>
      <c r="B92" s="49" t="s">
        <v>525</v>
      </c>
      <c r="C92" s="49" t="s">
        <v>2377</v>
      </c>
      <c r="D92" s="106" t="s">
        <v>1930</v>
      </c>
    </row>
    <row r="93" spans="1:4" ht="23" x14ac:dyDescent="0.25">
      <c r="A93" s="257" t="s">
        <v>111</v>
      </c>
      <c r="B93" s="49" t="s">
        <v>533</v>
      </c>
      <c r="C93" s="49" t="s">
        <v>1683</v>
      </c>
      <c r="D93" s="106" t="s">
        <v>1938</v>
      </c>
    </row>
    <row r="94" spans="1:4" x14ac:dyDescent="0.25">
      <c r="A94" s="257" t="s">
        <v>57</v>
      </c>
      <c r="B94" s="49" t="s">
        <v>534</v>
      </c>
      <c r="C94" s="105" t="s">
        <v>1617</v>
      </c>
      <c r="D94" s="106" t="s">
        <v>1939</v>
      </c>
    </row>
    <row r="95" spans="1:4" ht="103.5" x14ac:dyDescent="0.25">
      <c r="A95" s="257" t="s">
        <v>535</v>
      </c>
      <c r="B95" s="49" t="s">
        <v>536</v>
      </c>
      <c r="C95" s="49" t="s">
        <v>2386</v>
      </c>
      <c r="D95" s="106" t="s">
        <v>1940</v>
      </c>
    </row>
    <row r="96" spans="1:4" ht="46" x14ac:dyDescent="0.25">
      <c r="A96" s="257" t="s">
        <v>114</v>
      </c>
      <c r="B96" s="49" t="s">
        <v>537</v>
      </c>
      <c r="C96" s="49" t="s">
        <v>2567</v>
      </c>
      <c r="D96" s="106" t="s">
        <v>1941</v>
      </c>
    </row>
    <row r="97" spans="1:4" ht="23" x14ac:dyDescent="0.25">
      <c r="A97" s="257" t="s">
        <v>116</v>
      </c>
      <c r="B97" s="49" t="s">
        <v>538</v>
      </c>
      <c r="C97" s="49" t="s">
        <v>1743</v>
      </c>
      <c r="D97" s="106" t="s">
        <v>1942</v>
      </c>
    </row>
    <row r="98" spans="1:4" ht="23" x14ac:dyDescent="0.25">
      <c r="A98" s="257" t="s">
        <v>118</v>
      </c>
      <c r="B98" s="49" t="s">
        <v>539</v>
      </c>
      <c r="C98" s="49" t="s">
        <v>2387</v>
      </c>
      <c r="D98" s="106" t="s">
        <v>1943</v>
      </c>
    </row>
    <row r="99" spans="1:4" ht="23" x14ac:dyDescent="0.25">
      <c r="A99" s="257" t="s">
        <v>120</v>
      </c>
      <c r="B99" s="49" t="s">
        <v>540</v>
      </c>
      <c r="C99" s="49" t="s">
        <v>2388</v>
      </c>
      <c r="D99" s="106" t="s">
        <v>1944</v>
      </c>
    </row>
    <row r="100" spans="1:4" ht="23" x14ac:dyDescent="0.25">
      <c r="A100" s="257" t="s">
        <v>122</v>
      </c>
      <c r="B100" s="49" t="s">
        <v>541</v>
      </c>
      <c r="C100" s="49" t="s">
        <v>542</v>
      </c>
      <c r="D100" s="106" t="s">
        <v>1945</v>
      </c>
    </row>
    <row r="101" spans="1:4" ht="34.5" x14ac:dyDescent="0.25">
      <c r="A101" s="257" t="s">
        <v>123</v>
      </c>
      <c r="B101" s="49" t="s">
        <v>543</v>
      </c>
      <c r="C101" s="49" t="s">
        <v>1685</v>
      </c>
      <c r="D101" s="106" t="s">
        <v>1946</v>
      </c>
    </row>
    <row r="102" spans="1:4" x14ac:dyDescent="0.25">
      <c r="A102" s="257" t="s">
        <v>59</v>
      </c>
      <c r="B102" s="49" t="s">
        <v>544</v>
      </c>
      <c r="C102" s="105" t="s">
        <v>1745</v>
      </c>
      <c r="D102" s="106" t="s">
        <v>1947</v>
      </c>
    </row>
    <row r="103" spans="1:4" ht="80.5" x14ac:dyDescent="0.25">
      <c r="A103" s="257" t="s">
        <v>545</v>
      </c>
      <c r="B103" s="49" t="s">
        <v>546</v>
      </c>
      <c r="C103" s="49" t="s">
        <v>2389</v>
      </c>
      <c r="D103" s="106" t="s">
        <v>1948</v>
      </c>
    </row>
    <row r="104" spans="1:4" ht="23" x14ac:dyDescent="0.25">
      <c r="A104" s="257" t="s">
        <v>125</v>
      </c>
      <c r="B104" s="49" t="s">
        <v>547</v>
      </c>
      <c r="C104" s="49" t="s">
        <v>1744</v>
      </c>
      <c r="D104" s="106" t="s">
        <v>1949</v>
      </c>
    </row>
    <row r="105" spans="1:4" ht="23" x14ac:dyDescent="0.25">
      <c r="A105" s="257" t="s">
        <v>128</v>
      </c>
      <c r="B105" s="49" t="s">
        <v>548</v>
      </c>
      <c r="C105" s="49" t="s">
        <v>2390</v>
      </c>
      <c r="D105" s="106" t="s">
        <v>1950</v>
      </c>
    </row>
    <row r="106" spans="1:4" ht="23" x14ac:dyDescent="0.25">
      <c r="A106" s="257" t="s">
        <v>131</v>
      </c>
      <c r="B106" s="49" t="s">
        <v>549</v>
      </c>
      <c r="C106" s="49" t="s">
        <v>1618</v>
      </c>
      <c r="D106" s="106" t="s">
        <v>1951</v>
      </c>
    </row>
    <row r="107" spans="1:4" ht="34.5" x14ac:dyDescent="0.25">
      <c r="A107" s="257" t="s">
        <v>134</v>
      </c>
      <c r="B107" s="49" t="s">
        <v>550</v>
      </c>
      <c r="C107" s="49" t="s">
        <v>551</v>
      </c>
      <c r="D107" s="106" t="s">
        <v>1952</v>
      </c>
    </row>
    <row r="108" spans="1:4" ht="23" x14ac:dyDescent="0.25">
      <c r="A108" s="257" t="s">
        <v>137</v>
      </c>
      <c r="B108" s="49" t="s">
        <v>552</v>
      </c>
      <c r="C108" s="49" t="s">
        <v>1619</v>
      </c>
      <c r="D108" s="106" t="s">
        <v>1953</v>
      </c>
    </row>
    <row r="109" spans="1:4" ht="34.5" x14ac:dyDescent="0.25">
      <c r="A109" s="257" t="s">
        <v>139</v>
      </c>
      <c r="B109" s="49" t="s">
        <v>553</v>
      </c>
      <c r="C109" s="49" t="s">
        <v>1686</v>
      </c>
      <c r="D109" s="106" t="s">
        <v>1954</v>
      </c>
    </row>
    <row r="110" spans="1:4" x14ac:dyDescent="0.25">
      <c r="A110" s="257" t="s">
        <v>62</v>
      </c>
      <c r="B110" s="49" t="s">
        <v>481</v>
      </c>
      <c r="C110" s="105" t="s">
        <v>1758</v>
      </c>
      <c r="D110" s="106" t="s">
        <v>1872</v>
      </c>
    </row>
    <row r="111" spans="1:4" ht="69" x14ac:dyDescent="0.25">
      <c r="A111" s="257" t="s">
        <v>554</v>
      </c>
      <c r="B111" s="49" t="s">
        <v>483</v>
      </c>
      <c r="C111" s="49" t="s">
        <v>2565</v>
      </c>
      <c r="D111" s="106" t="s">
        <v>1873</v>
      </c>
    </row>
    <row r="112" spans="1:4" ht="23" x14ac:dyDescent="0.25">
      <c r="A112" s="257" t="s">
        <v>142</v>
      </c>
      <c r="B112" s="49" t="s">
        <v>555</v>
      </c>
      <c r="C112" s="49" t="s">
        <v>1770</v>
      </c>
      <c r="D112" s="106" t="s">
        <v>1955</v>
      </c>
    </row>
    <row r="113" spans="1:4" ht="23" x14ac:dyDescent="0.25">
      <c r="A113" s="257" t="s">
        <v>145</v>
      </c>
      <c r="B113" s="49" t="s">
        <v>556</v>
      </c>
      <c r="C113" s="49" t="s">
        <v>1771</v>
      </c>
      <c r="D113" s="106" t="s">
        <v>1956</v>
      </c>
    </row>
    <row r="114" spans="1:4" ht="23" x14ac:dyDescent="0.25">
      <c r="A114" s="257" t="s">
        <v>148</v>
      </c>
      <c r="B114" s="49" t="s">
        <v>557</v>
      </c>
      <c r="C114" s="49" t="s">
        <v>1772</v>
      </c>
      <c r="D114" s="106" t="s">
        <v>1957</v>
      </c>
    </row>
    <row r="115" spans="1:4" ht="23" x14ac:dyDescent="0.25">
      <c r="A115" s="257" t="s">
        <v>151</v>
      </c>
      <c r="B115" s="49" t="s">
        <v>558</v>
      </c>
      <c r="C115" s="49" t="s">
        <v>2325</v>
      </c>
      <c r="D115" s="106" t="s">
        <v>1958</v>
      </c>
    </row>
    <row r="116" spans="1:4" ht="46" x14ac:dyDescent="0.25">
      <c r="A116" s="257" t="s">
        <v>153</v>
      </c>
      <c r="B116" s="49" t="s">
        <v>559</v>
      </c>
      <c r="C116" s="49" t="s">
        <v>2335</v>
      </c>
      <c r="D116" s="106" t="s">
        <v>1959</v>
      </c>
    </row>
    <row r="117" spans="1:4" ht="34.5" x14ac:dyDescent="0.25">
      <c r="A117" s="257" t="s">
        <v>155</v>
      </c>
      <c r="B117" s="49" t="s">
        <v>560</v>
      </c>
      <c r="C117" s="49" t="s">
        <v>1773</v>
      </c>
      <c r="D117" s="106" t="s">
        <v>1960</v>
      </c>
    </row>
    <row r="118" spans="1:4" ht="23" x14ac:dyDescent="0.25">
      <c r="A118" s="257" t="s">
        <v>158</v>
      </c>
      <c r="B118" s="49" t="s">
        <v>561</v>
      </c>
      <c r="C118" s="49" t="s">
        <v>2345</v>
      </c>
      <c r="D118" s="106" t="s">
        <v>1961</v>
      </c>
    </row>
    <row r="119" spans="1:4" x14ac:dyDescent="0.25">
      <c r="A119" s="257" t="s">
        <v>60</v>
      </c>
      <c r="B119" s="49" t="s">
        <v>976</v>
      </c>
      <c r="C119" s="105" t="s">
        <v>977</v>
      </c>
      <c r="D119" s="106" t="s">
        <v>1962</v>
      </c>
    </row>
    <row r="120" spans="1:4" s="53" customFormat="1" ht="23" x14ac:dyDescent="0.25">
      <c r="A120" s="257" t="s">
        <v>1518</v>
      </c>
      <c r="B120" s="49" t="s">
        <v>2284</v>
      </c>
      <c r="C120" s="49" t="s">
        <v>2286</v>
      </c>
      <c r="D120" s="106" t="s">
        <v>1963</v>
      </c>
    </row>
    <row r="121" spans="1:4" x14ac:dyDescent="0.25">
      <c r="A121" s="257" t="s">
        <v>157</v>
      </c>
      <c r="B121" s="49" t="s">
        <v>596</v>
      </c>
      <c r="C121" s="105" t="s">
        <v>514</v>
      </c>
      <c r="D121" s="106" t="s">
        <v>1964</v>
      </c>
    </row>
    <row r="122" spans="1:4" ht="34.5" x14ac:dyDescent="0.25">
      <c r="A122" s="257" t="s">
        <v>1519</v>
      </c>
      <c r="B122" s="49" t="s">
        <v>2285</v>
      </c>
      <c r="C122" s="49" t="s">
        <v>2287</v>
      </c>
      <c r="D122" s="106" t="s">
        <v>1965</v>
      </c>
    </row>
    <row r="123" spans="1:4" ht="23" x14ac:dyDescent="0.25">
      <c r="A123" s="257" t="s">
        <v>425</v>
      </c>
      <c r="B123" s="49" t="s">
        <v>597</v>
      </c>
      <c r="C123" s="49" t="s">
        <v>978</v>
      </c>
      <c r="D123" s="106" t="s">
        <v>1966</v>
      </c>
    </row>
    <row r="124" spans="1:4" ht="23" x14ac:dyDescent="0.25">
      <c r="A124" s="257" t="s">
        <v>426</v>
      </c>
      <c r="B124" s="49" t="s">
        <v>598</v>
      </c>
      <c r="C124" s="49" t="s">
        <v>2289</v>
      </c>
      <c r="D124" s="106" t="s">
        <v>1967</v>
      </c>
    </row>
    <row r="125" spans="1:4" ht="23" x14ac:dyDescent="0.25">
      <c r="A125" s="257" t="s">
        <v>427</v>
      </c>
      <c r="B125" s="49" t="s">
        <v>599</v>
      </c>
      <c r="C125" s="49" t="s">
        <v>2290</v>
      </c>
      <c r="D125" s="106" t="s">
        <v>1968</v>
      </c>
    </row>
    <row r="126" spans="1:4" ht="23" x14ac:dyDescent="0.25">
      <c r="A126" s="257" t="s">
        <v>428</v>
      </c>
      <c r="B126" s="49" t="s">
        <v>600</v>
      </c>
      <c r="C126" s="49" t="s">
        <v>2291</v>
      </c>
      <c r="D126" s="106" t="s">
        <v>1969</v>
      </c>
    </row>
    <row r="127" spans="1:4" ht="23" x14ac:dyDescent="0.25">
      <c r="A127" s="257" t="s">
        <v>429</v>
      </c>
      <c r="B127" s="49" t="s">
        <v>601</v>
      </c>
      <c r="C127" s="49" t="s">
        <v>2293</v>
      </c>
      <c r="D127" s="106" t="s">
        <v>1970</v>
      </c>
    </row>
    <row r="128" spans="1:4" ht="23" x14ac:dyDescent="0.25">
      <c r="A128" s="257" t="s">
        <v>430</v>
      </c>
      <c r="B128" s="49" t="s">
        <v>602</v>
      </c>
      <c r="C128" s="49" t="s">
        <v>2292</v>
      </c>
      <c r="D128" s="106" t="s">
        <v>1971</v>
      </c>
    </row>
    <row r="129" spans="1:4" ht="46" x14ac:dyDescent="0.25">
      <c r="A129" s="257" t="s">
        <v>431</v>
      </c>
      <c r="B129" s="49" t="s">
        <v>603</v>
      </c>
      <c r="C129" s="49" t="s">
        <v>2295</v>
      </c>
      <c r="D129" s="106" t="s">
        <v>1972</v>
      </c>
    </row>
    <row r="130" spans="1:4" ht="23" x14ac:dyDescent="0.25">
      <c r="A130" s="257" t="s">
        <v>432</v>
      </c>
      <c r="B130" s="49" t="s">
        <v>604</v>
      </c>
      <c r="C130" s="49" t="s">
        <v>2294</v>
      </c>
      <c r="D130" s="106" t="s">
        <v>1973</v>
      </c>
    </row>
    <row r="131" spans="1:4" x14ac:dyDescent="0.25">
      <c r="A131" s="257" t="s">
        <v>160</v>
      </c>
      <c r="B131" s="49" t="s">
        <v>605</v>
      </c>
      <c r="C131" s="105" t="s">
        <v>606</v>
      </c>
      <c r="D131" s="106" t="s">
        <v>1974</v>
      </c>
    </row>
    <row r="132" spans="1:4" ht="57.5" x14ac:dyDescent="0.25">
      <c r="A132" s="257" t="s">
        <v>1520</v>
      </c>
      <c r="B132" s="49" t="s">
        <v>607</v>
      </c>
      <c r="C132" s="49" t="s">
        <v>2311</v>
      </c>
      <c r="D132" s="106" t="s">
        <v>1975</v>
      </c>
    </row>
    <row r="133" spans="1:4" ht="32" customHeight="1" x14ac:dyDescent="0.25">
      <c r="A133" s="257" t="s">
        <v>433</v>
      </c>
      <c r="B133" s="49" t="s">
        <v>608</v>
      </c>
      <c r="C133" s="49" t="s">
        <v>2296</v>
      </c>
      <c r="D133" s="106" t="s">
        <v>1976</v>
      </c>
    </row>
    <row r="134" spans="1:4" ht="31" customHeight="1" x14ac:dyDescent="0.25">
      <c r="A134" s="257" t="s">
        <v>434</v>
      </c>
      <c r="B134" s="49" t="s">
        <v>609</v>
      </c>
      <c r="C134" s="49" t="s">
        <v>2297</v>
      </c>
      <c r="D134" s="106" t="s">
        <v>1977</v>
      </c>
    </row>
    <row r="135" spans="1:4" ht="42" customHeight="1" x14ac:dyDescent="0.25">
      <c r="A135" s="257" t="s">
        <v>435</v>
      </c>
      <c r="B135" s="49" t="s">
        <v>610</v>
      </c>
      <c r="C135" s="49" t="s">
        <v>2568</v>
      </c>
      <c r="D135" s="106" t="s">
        <v>1978</v>
      </c>
    </row>
    <row r="136" spans="1:4" ht="34.5" x14ac:dyDescent="0.25">
      <c r="A136" s="257" t="s">
        <v>436</v>
      </c>
      <c r="B136" s="49" t="s">
        <v>611</v>
      </c>
      <c r="C136" s="49" t="s">
        <v>2312</v>
      </c>
      <c r="D136" s="106" t="s">
        <v>1979</v>
      </c>
    </row>
    <row r="137" spans="1:4" ht="34.5" x14ac:dyDescent="0.25">
      <c r="A137" s="257" t="s">
        <v>437</v>
      </c>
      <c r="B137" s="49" t="s">
        <v>612</v>
      </c>
      <c r="C137" s="49" t="s">
        <v>2298</v>
      </c>
      <c r="D137" s="106" t="s">
        <v>1980</v>
      </c>
    </row>
    <row r="138" spans="1:4" s="53" customFormat="1" ht="34.5" x14ac:dyDescent="0.25">
      <c r="A138" s="257" t="s">
        <v>438</v>
      </c>
      <c r="B138" s="49" t="s">
        <v>613</v>
      </c>
      <c r="C138" s="49" t="s">
        <v>2299</v>
      </c>
      <c r="D138" s="106" t="s">
        <v>1981</v>
      </c>
    </row>
    <row r="139" spans="1:4" ht="23" x14ac:dyDescent="0.25">
      <c r="A139" s="257" t="s">
        <v>439</v>
      </c>
      <c r="B139" s="49" t="s">
        <v>614</v>
      </c>
      <c r="C139" s="49" t="s">
        <v>2288</v>
      </c>
      <c r="D139" s="106" t="s">
        <v>1982</v>
      </c>
    </row>
    <row r="140" spans="1:4" ht="46" x14ac:dyDescent="0.25">
      <c r="A140" s="257" t="s">
        <v>440</v>
      </c>
      <c r="B140" s="49" t="s">
        <v>615</v>
      </c>
      <c r="C140" s="49" t="s">
        <v>2300</v>
      </c>
      <c r="D140" s="106" t="s">
        <v>1983</v>
      </c>
    </row>
    <row r="141" spans="1:4" ht="34.5" x14ac:dyDescent="0.25">
      <c r="A141" s="257" t="s">
        <v>441</v>
      </c>
      <c r="B141" s="49" t="s">
        <v>616</v>
      </c>
      <c r="C141" s="49" t="s">
        <v>2313</v>
      </c>
      <c r="D141" s="106" t="s">
        <v>1984</v>
      </c>
    </row>
    <row r="142" spans="1:4" ht="23" x14ac:dyDescent="0.25">
      <c r="A142" s="257" t="s">
        <v>442</v>
      </c>
      <c r="B142" s="49" t="s">
        <v>617</v>
      </c>
      <c r="C142" s="49" t="s">
        <v>2569</v>
      </c>
      <c r="D142" s="106" t="s">
        <v>1985</v>
      </c>
    </row>
    <row r="143" spans="1:4" ht="34.5" x14ac:dyDescent="0.25">
      <c r="A143" s="257" t="s">
        <v>443</v>
      </c>
      <c r="B143" s="49" t="s">
        <v>618</v>
      </c>
      <c r="C143" s="49" t="s">
        <v>2302</v>
      </c>
      <c r="D143" s="106" t="s">
        <v>1986</v>
      </c>
    </row>
    <row r="144" spans="1:4" x14ac:dyDescent="0.25">
      <c r="A144" s="257" t="s">
        <v>162</v>
      </c>
      <c r="B144" s="49" t="s">
        <v>619</v>
      </c>
      <c r="C144" s="105" t="s">
        <v>2303</v>
      </c>
      <c r="D144" s="106" t="s">
        <v>2225</v>
      </c>
    </row>
    <row r="145" spans="1:4" ht="69" x14ac:dyDescent="0.25">
      <c r="A145" s="257" t="s">
        <v>1521</v>
      </c>
      <c r="B145" s="49" t="s">
        <v>620</v>
      </c>
      <c r="C145" s="49" t="s">
        <v>2301</v>
      </c>
      <c r="D145" s="106" t="s">
        <v>2226</v>
      </c>
    </row>
    <row r="146" spans="1:4" ht="23" x14ac:dyDescent="0.25">
      <c r="A146" s="257" t="s">
        <v>444</v>
      </c>
      <c r="B146" s="49" t="s">
        <v>621</v>
      </c>
      <c r="C146" s="49" t="s">
        <v>2304</v>
      </c>
      <c r="D146" s="106" t="s">
        <v>2227</v>
      </c>
    </row>
    <row r="147" spans="1:4" ht="23" x14ac:dyDescent="0.25">
      <c r="A147" s="257" t="s">
        <v>445</v>
      </c>
      <c r="B147" s="49" t="s">
        <v>622</v>
      </c>
      <c r="C147" s="49" t="s">
        <v>2306</v>
      </c>
      <c r="D147" s="106" t="s">
        <v>2228</v>
      </c>
    </row>
    <row r="148" spans="1:4" ht="23" x14ac:dyDescent="0.25">
      <c r="A148" s="257" t="s">
        <v>446</v>
      </c>
      <c r="B148" s="49" t="s">
        <v>623</v>
      </c>
      <c r="C148" s="49" t="s">
        <v>2305</v>
      </c>
      <c r="D148" s="106" t="s">
        <v>2229</v>
      </c>
    </row>
    <row r="149" spans="1:4" ht="23" x14ac:dyDescent="0.25">
      <c r="A149" s="257" t="s">
        <v>447</v>
      </c>
      <c r="B149" s="49" t="s">
        <v>624</v>
      </c>
      <c r="C149" s="49" t="s">
        <v>2307</v>
      </c>
      <c r="D149" s="106" t="s">
        <v>1987</v>
      </c>
    </row>
    <row r="150" spans="1:4" s="53" customFormat="1" ht="34.5" x14ac:dyDescent="0.25">
      <c r="A150" s="257" t="s">
        <v>448</v>
      </c>
      <c r="B150" s="49" t="s">
        <v>625</v>
      </c>
      <c r="C150" s="49" t="s">
        <v>2308</v>
      </c>
      <c r="D150" s="106" t="s">
        <v>1988</v>
      </c>
    </row>
    <row r="151" spans="1:4" ht="46" x14ac:dyDescent="0.25">
      <c r="A151" s="257" t="s">
        <v>449</v>
      </c>
      <c r="B151" s="49" t="s">
        <v>626</v>
      </c>
      <c r="C151" s="49" t="s">
        <v>2570</v>
      </c>
      <c r="D151" s="106" t="s">
        <v>2230</v>
      </c>
    </row>
    <row r="152" spans="1:4" ht="23" x14ac:dyDescent="0.25">
      <c r="A152" s="257" t="s">
        <v>450</v>
      </c>
      <c r="B152" s="49" t="s">
        <v>627</v>
      </c>
      <c r="C152" s="49" t="s">
        <v>2309</v>
      </c>
      <c r="D152" s="106" t="s">
        <v>1989</v>
      </c>
    </row>
    <row r="153" spans="1:4" ht="23" x14ac:dyDescent="0.25">
      <c r="A153" s="257" t="s">
        <v>451</v>
      </c>
      <c r="B153" s="49" t="s">
        <v>628</v>
      </c>
      <c r="C153" s="49" t="s">
        <v>2310</v>
      </c>
      <c r="D153" s="106" t="s">
        <v>1990</v>
      </c>
    </row>
    <row r="154" spans="1:4" x14ac:dyDescent="0.25">
      <c r="A154" s="257" t="s">
        <v>77</v>
      </c>
      <c r="B154" s="49" t="s">
        <v>727</v>
      </c>
      <c r="C154" s="105" t="s">
        <v>728</v>
      </c>
      <c r="D154" s="106" t="s">
        <v>2723</v>
      </c>
    </row>
    <row r="155" spans="1:4" ht="57.5" x14ac:dyDescent="0.25">
      <c r="A155" s="257" t="s">
        <v>729</v>
      </c>
      <c r="B155" s="49" t="s">
        <v>730</v>
      </c>
      <c r="C155" s="49" t="s">
        <v>2360</v>
      </c>
      <c r="D155" s="106" t="s">
        <v>1991</v>
      </c>
    </row>
    <row r="156" spans="1:4" x14ac:dyDescent="0.25">
      <c r="A156" s="257" t="s">
        <v>105</v>
      </c>
      <c r="B156" s="49" t="s">
        <v>731</v>
      </c>
      <c r="C156" s="105" t="s">
        <v>732</v>
      </c>
      <c r="D156" s="106" t="s">
        <v>1992</v>
      </c>
    </row>
    <row r="157" spans="1:4" ht="34.5" x14ac:dyDescent="0.25">
      <c r="A157" s="257" t="s">
        <v>733</v>
      </c>
      <c r="B157" s="49" t="s">
        <v>734</v>
      </c>
      <c r="C157" s="49" t="s">
        <v>2361</v>
      </c>
      <c r="D157" s="106" t="s">
        <v>1993</v>
      </c>
    </row>
    <row r="158" spans="1:4" ht="46" x14ac:dyDescent="0.25">
      <c r="A158" s="257" t="s">
        <v>290</v>
      </c>
      <c r="B158" s="49" t="s">
        <v>735</v>
      </c>
      <c r="C158" s="49" t="s">
        <v>2547</v>
      </c>
      <c r="D158" s="106" t="s">
        <v>1994</v>
      </c>
    </row>
    <row r="159" spans="1:4" ht="46" x14ac:dyDescent="0.25">
      <c r="A159" s="257" t="s">
        <v>291</v>
      </c>
      <c r="B159" s="49" t="s">
        <v>736</v>
      </c>
      <c r="C159" s="49" t="s">
        <v>2548</v>
      </c>
      <c r="D159" s="106" t="s">
        <v>1995</v>
      </c>
    </row>
    <row r="160" spans="1:4" ht="23" x14ac:dyDescent="0.25">
      <c r="A160" s="257" t="s">
        <v>292</v>
      </c>
      <c r="B160" s="49" t="s">
        <v>737</v>
      </c>
      <c r="C160" s="49" t="s">
        <v>2571</v>
      </c>
      <c r="D160" s="106" t="s">
        <v>1996</v>
      </c>
    </row>
    <row r="161" spans="1:4" ht="23" x14ac:dyDescent="0.25">
      <c r="A161" s="257" t="s">
        <v>293</v>
      </c>
      <c r="B161" s="49" t="s">
        <v>738</v>
      </c>
      <c r="C161" s="49" t="s">
        <v>2572</v>
      </c>
      <c r="D161" s="106" t="s">
        <v>1997</v>
      </c>
    </row>
    <row r="162" spans="1:4" ht="23" x14ac:dyDescent="0.25">
      <c r="A162" s="257" t="s">
        <v>294</v>
      </c>
      <c r="B162" s="49" t="s">
        <v>739</v>
      </c>
      <c r="C162" s="49" t="s">
        <v>2362</v>
      </c>
      <c r="D162" s="106" t="s">
        <v>1998</v>
      </c>
    </row>
    <row r="163" spans="1:4" s="53" customFormat="1" x14ac:dyDescent="0.25">
      <c r="A163" s="257" t="s">
        <v>295</v>
      </c>
      <c r="B163" s="49" t="s">
        <v>740</v>
      </c>
      <c r="C163" s="49" t="s">
        <v>2363</v>
      </c>
      <c r="D163" s="106" t="s">
        <v>1999</v>
      </c>
    </row>
    <row r="164" spans="1:4" ht="23" x14ac:dyDescent="0.25">
      <c r="A164" s="257" t="s">
        <v>296</v>
      </c>
      <c r="B164" s="49" t="s">
        <v>741</v>
      </c>
      <c r="C164" s="49" t="s">
        <v>2364</v>
      </c>
      <c r="D164" s="106" t="s">
        <v>2000</v>
      </c>
    </row>
    <row r="165" spans="1:4" x14ac:dyDescent="0.25">
      <c r="A165" s="257" t="s">
        <v>107</v>
      </c>
      <c r="B165" s="49" t="s">
        <v>742</v>
      </c>
      <c r="C165" s="105" t="s">
        <v>743</v>
      </c>
      <c r="D165" s="106" t="s">
        <v>2001</v>
      </c>
    </row>
    <row r="166" spans="1:4" ht="126.5" x14ac:dyDescent="0.25">
      <c r="A166" s="257" t="s">
        <v>744</v>
      </c>
      <c r="B166" s="49" t="s">
        <v>745</v>
      </c>
      <c r="C166" s="49" t="s">
        <v>2573</v>
      </c>
      <c r="D166" s="106" t="s">
        <v>2002</v>
      </c>
    </row>
    <row r="167" spans="1:4" ht="34.5" x14ac:dyDescent="0.25">
      <c r="A167" s="257" t="s">
        <v>297</v>
      </c>
      <c r="B167" s="49" t="s">
        <v>746</v>
      </c>
      <c r="C167" s="49" t="s">
        <v>2549</v>
      </c>
      <c r="D167" s="106" t="s">
        <v>2003</v>
      </c>
    </row>
    <row r="168" spans="1:4" ht="34.5" x14ac:dyDescent="0.25">
      <c r="A168" s="257" t="s">
        <v>298</v>
      </c>
      <c r="B168" s="49" t="s">
        <v>747</v>
      </c>
      <c r="C168" s="49" t="s">
        <v>2550</v>
      </c>
      <c r="D168" s="106" t="s">
        <v>2004</v>
      </c>
    </row>
    <row r="169" spans="1:4" ht="23" x14ac:dyDescent="0.25">
      <c r="A169" s="257" t="s">
        <v>299</v>
      </c>
      <c r="B169" s="49" t="s">
        <v>748</v>
      </c>
      <c r="C169" s="49" t="s">
        <v>2574</v>
      </c>
      <c r="D169" s="106" t="s">
        <v>2005</v>
      </c>
    </row>
    <row r="170" spans="1:4" ht="23" x14ac:dyDescent="0.25">
      <c r="A170" s="257" t="s">
        <v>300</v>
      </c>
      <c r="B170" s="49" t="s">
        <v>749</v>
      </c>
      <c r="C170" s="49" t="s">
        <v>2365</v>
      </c>
      <c r="D170" s="106" t="s">
        <v>2006</v>
      </c>
    </row>
    <row r="171" spans="1:4" ht="57.5" x14ac:dyDescent="0.25">
      <c r="A171" s="257" t="s">
        <v>301</v>
      </c>
      <c r="B171" s="49" t="s">
        <v>1625</v>
      </c>
      <c r="C171" s="49" t="s">
        <v>2366</v>
      </c>
      <c r="D171" s="106" t="s">
        <v>2007</v>
      </c>
    </row>
    <row r="172" spans="1:4" ht="23" x14ac:dyDescent="0.25">
      <c r="A172" s="257" t="s">
        <v>302</v>
      </c>
      <c r="B172" s="49" t="s">
        <v>750</v>
      </c>
      <c r="C172" s="49" t="s">
        <v>2367</v>
      </c>
      <c r="D172" s="106" t="s">
        <v>2008</v>
      </c>
    </row>
    <row r="173" spans="1:4" ht="34.5" x14ac:dyDescent="0.25">
      <c r="A173" s="257" t="s">
        <v>303</v>
      </c>
      <c r="B173" s="49" t="s">
        <v>1626</v>
      </c>
      <c r="C173" s="49" t="s">
        <v>2371</v>
      </c>
      <c r="D173" s="106" t="s">
        <v>2009</v>
      </c>
    </row>
    <row r="174" spans="1:4" ht="34.5" x14ac:dyDescent="0.25">
      <c r="A174" s="257" t="s">
        <v>304</v>
      </c>
      <c r="B174" s="49" t="s">
        <v>1627</v>
      </c>
      <c r="C174" s="49" t="s">
        <v>2368</v>
      </c>
      <c r="D174" s="106" t="s">
        <v>2010</v>
      </c>
    </row>
    <row r="175" spans="1:4" s="53" customFormat="1" ht="23" x14ac:dyDescent="0.25">
      <c r="A175" s="257" t="s">
        <v>305</v>
      </c>
      <c r="B175" s="49" t="s">
        <v>1628</v>
      </c>
      <c r="C175" s="49" t="s">
        <v>1687</v>
      </c>
      <c r="D175" s="106" t="s">
        <v>2011</v>
      </c>
    </row>
    <row r="176" spans="1:4" ht="34.5" x14ac:dyDescent="0.25">
      <c r="A176" s="257" t="s">
        <v>306</v>
      </c>
      <c r="B176" s="49" t="s">
        <v>751</v>
      </c>
      <c r="C176" s="49" t="s">
        <v>2369</v>
      </c>
      <c r="D176" s="106" t="s">
        <v>2012</v>
      </c>
    </row>
    <row r="177" spans="1:4" ht="34.5" x14ac:dyDescent="0.25">
      <c r="A177" s="257" t="s">
        <v>307</v>
      </c>
      <c r="B177" s="49" t="s">
        <v>752</v>
      </c>
      <c r="C177" s="49" t="s">
        <v>2370</v>
      </c>
      <c r="D177" s="106" t="s">
        <v>2013</v>
      </c>
    </row>
    <row r="178" spans="1:4" ht="34.5" x14ac:dyDescent="0.25">
      <c r="A178" s="257" t="s">
        <v>308</v>
      </c>
      <c r="B178" s="49" t="s">
        <v>753</v>
      </c>
      <c r="C178" s="49" t="s">
        <v>2372</v>
      </c>
      <c r="D178" s="106" t="s">
        <v>2014</v>
      </c>
    </row>
    <row r="179" spans="1:4" ht="34.5" x14ac:dyDescent="0.25">
      <c r="A179" s="257" t="s">
        <v>309</v>
      </c>
      <c r="B179" s="49" t="s">
        <v>754</v>
      </c>
      <c r="C179" s="49" t="s">
        <v>2575</v>
      </c>
      <c r="D179" s="106" t="s">
        <v>2015</v>
      </c>
    </row>
    <row r="180" spans="1:4" ht="23" x14ac:dyDescent="0.25">
      <c r="A180" s="257" t="s">
        <v>310</v>
      </c>
      <c r="B180" s="49" t="s">
        <v>755</v>
      </c>
      <c r="C180" s="49" t="s">
        <v>2373</v>
      </c>
      <c r="D180" s="106" t="s">
        <v>2016</v>
      </c>
    </row>
    <row r="181" spans="1:4" x14ac:dyDescent="0.25">
      <c r="A181" s="257" t="s">
        <v>109</v>
      </c>
      <c r="B181" s="49" t="s">
        <v>481</v>
      </c>
      <c r="C181" s="105" t="s">
        <v>1758</v>
      </c>
      <c r="D181" s="106" t="s">
        <v>1872</v>
      </c>
    </row>
    <row r="182" spans="1:4" ht="69" x14ac:dyDescent="0.25">
      <c r="A182" s="257" t="s">
        <v>756</v>
      </c>
      <c r="B182" s="49" t="s">
        <v>483</v>
      </c>
      <c r="C182" s="49" t="s">
        <v>2565</v>
      </c>
      <c r="D182" s="106" t="s">
        <v>1873</v>
      </c>
    </row>
    <row r="183" spans="1:4" ht="23" x14ac:dyDescent="0.25">
      <c r="A183" s="257" t="s">
        <v>312</v>
      </c>
      <c r="B183" s="49" t="s">
        <v>757</v>
      </c>
      <c r="C183" s="49" t="s">
        <v>1774</v>
      </c>
      <c r="D183" s="106" t="s">
        <v>2017</v>
      </c>
    </row>
    <row r="184" spans="1:4" ht="23" x14ac:dyDescent="0.25">
      <c r="A184" s="257" t="s">
        <v>313</v>
      </c>
      <c r="B184" s="49" t="s">
        <v>758</v>
      </c>
      <c r="C184" s="49" t="s">
        <v>1775</v>
      </c>
      <c r="D184" s="106" t="s">
        <v>2018</v>
      </c>
    </row>
    <row r="185" spans="1:4" ht="34.5" x14ac:dyDescent="0.25">
      <c r="A185" s="257" t="s">
        <v>314</v>
      </c>
      <c r="B185" s="49" t="s">
        <v>759</v>
      </c>
      <c r="C185" s="49" t="s">
        <v>1776</v>
      </c>
      <c r="D185" s="106" t="s">
        <v>2019</v>
      </c>
    </row>
    <row r="186" spans="1:4" ht="34.5" x14ac:dyDescent="0.25">
      <c r="A186" s="257" t="s">
        <v>315</v>
      </c>
      <c r="B186" s="49" t="s">
        <v>760</v>
      </c>
      <c r="C186" s="49" t="s">
        <v>2326</v>
      </c>
      <c r="D186" s="106" t="s">
        <v>2020</v>
      </c>
    </row>
    <row r="187" spans="1:4" ht="46" x14ac:dyDescent="0.25">
      <c r="A187" s="257" t="s">
        <v>316</v>
      </c>
      <c r="B187" s="49" t="s">
        <v>761</v>
      </c>
      <c r="C187" s="49" t="s">
        <v>2336</v>
      </c>
      <c r="D187" s="106" t="s">
        <v>2021</v>
      </c>
    </row>
    <row r="188" spans="1:4" ht="34.5" x14ac:dyDescent="0.25">
      <c r="A188" s="257" t="s">
        <v>317</v>
      </c>
      <c r="B188" s="49" t="s">
        <v>762</v>
      </c>
      <c r="C188" s="49" t="s">
        <v>1777</v>
      </c>
      <c r="D188" s="106" t="s">
        <v>2022</v>
      </c>
    </row>
    <row r="189" spans="1:4" ht="34.5" x14ac:dyDescent="0.25">
      <c r="A189" s="257" t="s">
        <v>318</v>
      </c>
      <c r="B189" s="49" t="s">
        <v>763</v>
      </c>
      <c r="C189" s="49" t="s">
        <v>2346</v>
      </c>
      <c r="D189" s="106" t="s">
        <v>2023</v>
      </c>
    </row>
    <row r="190" spans="1:4" x14ac:dyDescent="0.25">
      <c r="A190" s="257" t="s">
        <v>453</v>
      </c>
      <c r="B190" s="49" t="s">
        <v>982</v>
      </c>
      <c r="C190" s="49" t="s">
        <v>6</v>
      </c>
      <c r="D190" s="106" t="s">
        <v>2272</v>
      </c>
    </row>
    <row r="191" spans="1:4" x14ac:dyDescent="0.25">
      <c r="A191" s="257" t="s">
        <v>454</v>
      </c>
      <c r="B191" s="49" t="s">
        <v>2274</v>
      </c>
      <c r="C191" s="49" t="s">
        <v>2273</v>
      </c>
      <c r="D191" s="106" t="s">
        <v>2275</v>
      </c>
    </row>
    <row r="192" spans="1:4" x14ac:dyDescent="0.25">
      <c r="A192" s="257" t="s">
        <v>455</v>
      </c>
      <c r="B192" s="49" t="s">
        <v>981</v>
      </c>
      <c r="C192" s="49" t="s">
        <v>4</v>
      </c>
      <c r="D192" s="106" t="s">
        <v>2276</v>
      </c>
    </row>
    <row r="193" spans="1:4" x14ac:dyDescent="0.25">
      <c r="A193" s="257" t="s">
        <v>456</v>
      </c>
      <c r="B193" s="49" t="s">
        <v>34</v>
      </c>
      <c r="C193" s="49" t="s">
        <v>5</v>
      </c>
      <c r="D193" s="106" t="s">
        <v>2277</v>
      </c>
    </row>
    <row r="194" spans="1:4" x14ac:dyDescent="0.25">
      <c r="A194" s="257" t="s">
        <v>1848</v>
      </c>
      <c r="B194" s="49" t="s">
        <v>1572</v>
      </c>
      <c r="C194" s="49" t="s">
        <v>1533</v>
      </c>
      <c r="D194" s="106" t="s">
        <v>2278</v>
      </c>
    </row>
    <row r="195" spans="1:4" x14ac:dyDescent="0.25">
      <c r="A195" s="257" t="s">
        <v>1613</v>
      </c>
      <c r="B195" s="49" t="s">
        <v>1614</v>
      </c>
      <c r="C195" s="49" t="s">
        <v>1514</v>
      </c>
      <c r="D195" s="106" t="s">
        <v>2279</v>
      </c>
    </row>
    <row r="196" spans="1:4" x14ac:dyDescent="0.25">
      <c r="A196" s="49" t="s">
        <v>1460</v>
      </c>
      <c r="B196" s="49" t="s">
        <v>1829</v>
      </c>
      <c r="C196" s="49" t="s">
        <v>1830</v>
      </c>
      <c r="D196" s="106" t="s">
        <v>2511</v>
      </c>
    </row>
    <row r="197" spans="1:4" x14ac:dyDescent="0.25">
      <c r="A197" s="49" t="s">
        <v>1585</v>
      </c>
      <c r="B197" s="49" t="s">
        <v>1573</v>
      </c>
      <c r="C197" s="49" t="s">
        <v>1523</v>
      </c>
      <c r="D197" s="106" t="s">
        <v>2510</v>
      </c>
    </row>
    <row r="198" spans="1:4" ht="103.5" x14ac:dyDescent="0.25">
      <c r="A198" s="49" t="s">
        <v>1586</v>
      </c>
      <c r="B198" s="49" t="s">
        <v>2533</v>
      </c>
      <c r="C198" s="49" t="s">
        <v>2576</v>
      </c>
      <c r="D198" s="106" t="s">
        <v>2639</v>
      </c>
    </row>
    <row r="199" spans="1:4" x14ac:dyDescent="0.25">
      <c r="A199" s="49" t="s">
        <v>1587</v>
      </c>
      <c r="B199" s="49" t="s">
        <v>960</v>
      </c>
      <c r="C199" s="49" t="s">
        <v>949</v>
      </c>
      <c r="D199" s="106" t="s">
        <v>2640</v>
      </c>
    </row>
    <row r="200" spans="1:4" x14ac:dyDescent="0.25">
      <c r="A200" s="49" t="s">
        <v>1588</v>
      </c>
      <c r="B200" s="49" t="s">
        <v>1595</v>
      </c>
      <c r="C200" s="49" t="s">
        <v>944</v>
      </c>
      <c r="D200" s="106" t="s">
        <v>2641</v>
      </c>
    </row>
    <row r="201" spans="1:4" x14ac:dyDescent="0.25">
      <c r="A201" s="49" t="s">
        <v>1589</v>
      </c>
      <c r="B201" s="49" t="s">
        <v>1596</v>
      </c>
      <c r="C201" s="49" t="s">
        <v>945</v>
      </c>
      <c r="D201" s="106" t="s">
        <v>2642</v>
      </c>
    </row>
    <row r="202" spans="1:4" x14ac:dyDescent="0.25">
      <c r="A202" s="49" t="s">
        <v>1590</v>
      </c>
      <c r="B202" s="49" t="s">
        <v>1597</v>
      </c>
      <c r="C202" s="49" t="s">
        <v>946</v>
      </c>
      <c r="D202" s="106" t="s">
        <v>2643</v>
      </c>
    </row>
    <row r="203" spans="1:4" x14ac:dyDescent="0.25">
      <c r="A203" s="49" t="s">
        <v>1591</v>
      </c>
      <c r="B203" s="49" t="s">
        <v>1598</v>
      </c>
      <c r="C203" s="49" t="s">
        <v>1531</v>
      </c>
      <c r="D203" s="106" t="s">
        <v>2644</v>
      </c>
    </row>
    <row r="204" spans="1:4" x14ac:dyDescent="0.25">
      <c r="A204" s="49" t="s">
        <v>1592</v>
      </c>
      <c r="B204" s="49" t="s">
        <v>1599</v>
      </c>
      <c r="C204" s="49" t="s">
        <v>1532</v>
      </c>
      <c r="D204" s="106" t="s">
        <v>2645</v>
      </c>
    </row>
    <row r="205" spans="1:4" x14ac:dyDescent="0.25">
      <c r="A205" s="49" t="s">
        <v>1593</v>
      </c>
      <c r="B205" s="49" t="s">
        <v>1600</v>
      </c>
      <c r="C205" s="49" t="s">
        <v>947</v>
      </c>
      <c r="D205" s="106" t="s">
        <v>1600</v>
      </c>
    </row>
    <row r="206" spans="1:4" x14ac:dyDescent="0.25">
      <c r="A206" s="49" t="s">
        <v>1584</v>
      </c>
      <c r="B206" s="49" t="s">
        <v>1601</v>
      </c>
      <c r="C206" s="49" t="s">
        <v>948</v>
      </c>
      <c r="D206" s="106" t="s">
        <v>2646</v>
      </c>
    </row>
    <row r="207" spans="1:4" x14ac:dyDescent="0.25">
      <c r="A207" s="49" t="s">
        <v>1594</v>
      </c>
      <c r="B207" s="49" t="s">
        <v>1602</v>
      </c>
      <c r="C207" s="49" t="s">
        <v>1530</v>
      </c>
      <c r="D207" s="106" t="s">
        <v>1602</v>
      </c>
    </row>
    <row r="208" spans="1:4" x14ac:dyDescent="0.25">
      <c r="A208" s="49" t="s">
        <v>1457</v>
      </c>
      <c r="B208" s="105" t="s">
        <v>1837</v>
      </c>
      <c r="C208" s="49" t="s">
        <v>1838</v>
      </c>
      <c r="D208" s="106" t="s">
        <v>2648</v>
      </c>
    </row>
    <row r="209" spans="1:4" x14ac:dyDescent="0.25">
      <c r="A209" s="49" t="s">
        <v>1574</v>
      </c>
      <c r="B209" s="105" t="s">
        <v>1582</v>
      </c>
      <c r="C209" s="49" t="s">
        <v>1524</v>
      </c>
      <c r="D209" s="106" t="s">
        <v>2649</v>
      </c>
    </row>
    <row r="210" spans="1:4" x14ac:dyDescent="0.25">
      <c r="A210" s="49" t="s">
        <v>1575</v>
      </c>
      <c r="B210" s="105" t="s">
        <v>1583</v>
      </c>
      <c r="C210" s="49" t="s">
        <v>1522</v>
      </c>
      <c r="D210" s="106" t="s">
        <v>2647</v>
      </c>
    </row>
    <row r="211" spans="1:4" x14ac:dyDescent="0.25">
      <c r="A211" s="49" t="s">
        <v>1576</v>
      </c>
      <c r="B211" s="105" t="s">
        <v>1511</v>
      </c>
      <c r="C211" s="49" t="s">
        <v>1525</v>
      </c>
      <c r="D211" s="106" t="s">
        <v>2650</v>
      </c>
    </row>
    <row r="212" spans="1:4" x14ac:dyDescent="0.25">
      <c r="A212" s="49" t="s">
        <v>1577</v>
      </c>
      <c r="B212" s="49" t="s">
        <v>2591</v>
      </c>
      <c r="C212" s="49" t="s">
        <v>2593</v>
      </c>
      <c r="D212" s="106" t="s">
        <v>2651</v>
      </c>
    </row>
    <row r="213" spans="1:4" x14ac:dyDescent="0.25">
      <c r="A213" s="49" t="s">
        <v>1578</v>
      </c>
      <c r="B213" s="49" t="s">
        <v>2591</v>
      </c>
      <c r="C213" s="49" t="s">
        <v>2593</v>
      </c>
      <c r="D213" s="106" t="s">
        <v>2651</v>
      </c>
    </row>
    <row r="214" spans="1:4" x14ac:dyDescent="0.25">
      <c r="A214" s="49" t="s">
        <v>1579</v>
      </c>
      <c r="B214" s="49" t="s">
        <v>2592</v>
      </c>
      <c r="C214" s="49" t="s">
        <v>2594</v>
      </c>
      <c r="D214" s="106" t="s">
        <v>2652</v>
      </c>
    </row>
    <row r="215" spans="1:4" x14ac:dyDescent="0.25">
      <c r="A215" s="49" t="s">
        <v>1580</v>
      </c>
      <c r="B215" s="49" t="s">
        <v>2656</v>
      </c>
      <c r="C215" s="49" t="s">
        <v>2657</v>
      </c>
      <c r="D215" s="106" t="s">
        <v>2658</v>
      </c>
    </row>
    <row r="216" spans="1:4" ht="92" x14ac:dyDescent="0.25">
      <c r="A216" s="49" t="s">
        <v>1581</v>
      </c>
      <c r="B216" s="49" t="s">
        <v>2653</v>
      </c>
      <c r="C216" s="49" t="s">
        <v>2654</v>
      </c>
      <c r="D216" s="106" t="s">
        <v>2655</v>
      </c>
    </row>
    <row r="217" spans="1:4" x14ac:dyDescent="0.25">
      <c r="A217" s="49" t="s">
        <v>1458</v>
      </c>
      <c r="B217" s="258" t="s">
        <v>1851</v>
      </c>
      <c r="C217" s="49" t="s">
        <v>1850</v>
      </c>
      <c r="D217" s="106" t="s">
        <v>2518</v>
      </c>
    </row>
    <row r="218" spans="1:4" x14ac:dyDescent="0.25">
      <c r="A218" s="49" t="s">
        <v>1459</v>
      </c>
      <c r="B218" s="258" t="s">
        <v>1512</v>
      </c>
      <c r="C218" s="49" t="s">
        <v>1849</v>
      </c>
      <c r="D218" s="106" t="s">
        <v>2519</v>
      </c>
    </row>
    <row r="219" spans="1:4" x14ac:dyDescent="0.25">
      <c r="A219" s="49" t="s">
        <v>2482</v>
      </c>
      <c r="B219" s="258" t="s">
        <v>2498</v>
      </c>
      <c r="C219" s="49" t="s">
        <v>2499</v>
      </c>
      <c r="D219" s="106" t="s">
        <v>2520</v>
      </c>
    </row>
    <row r="220" spans="1:4" x14ac:dyDescent="0.25">
      <c r="A220" s="49" t="s">
        <v>2487</v>
      </c>
      <c r="B220" s="258" t="s">
        <v>2488</v>
      </c>
      <c r="C220" s="49" t="s">
        <v>2489</v>
      </c>
      <c r="D220" s="106" t="s">
        <v>2521</v>
      </c>
    </row>
    <row r="221" spans="1:4" x14ac:dyDescent="0.25">
      <c r="A221" s="49" t="s">
        <v>2490</v>
      </c>
      <c r="B221" s="258" t="s">
        <v>2497</v>
      </c>
      <c r="C221" s="49" t="s">
        <v>2496</v>
      </c>
      <c r="D221" s="106" t="s">
        <v>2522</v>
      </c>
    </row>
    <row r="222" spans="1:4" x14ac:dyDescent="0.25">
      <c r="A222" s="49" t="s">
        <v>2491</v>
      </c>
      <c r="B222" s="258" t="s">
        <v>2492</v>
      </c>
      <c r="C222" s="49" t="s">
        <v>2493</v>
      </c>
      <c r="D222" s="106" t="s">
        <v>2523</v>
      </c>
    </row>
    <row r="223" spans="1:4" x14ac:dyDescent="0.25">
      <c r="A223" s="49" t="s">
        <v>2453</v>
      </c>
      <c r="B223" s="258" t="s">
        <v>1639</v>
      </c>
      <c r="C223" s="49" t="s">
        <v>594</v>
      </c>
      <c r="D223" s="106" t="s">
        <v>2524</v>
      </c>
    </row>
    <row r="224" spans="1:4" x14ac:dyDescent="0.25">
      <c r="A224" s="49" t="s">
        <v>2454</v>
      </c>
      <c r="B224" s="258" t="s">
        <v>2451</v>
      </c>
      <c r="C224" s="49" t="s">
        <v>2459</v>
      </c>
      <c r="D224" s="106" t="s">
        <v>2525</v>
      </c>
    </row>
    <row r="225" spans="1:4" x14ac:dyDescent="0.25">
      <c r="A225" s="49" t="s">
        <v>2455</v>
      </c>
      <c r="B225" s="258" t="s">
        <v>2456</v>
      </c>
      <c r="C225" s="49" t="s">
        <v>2460</v>
      </c>
      <c r="D225" s="106" t="s">
        <v>2526</v>
      </c>
    </row>
    <row r="226" spans="1:4" x14ac:dyDescent="0.25">
      <c r="A226" s="49" t="s">
        <v>2479</v>
      </c>
      <c r="B226" s="258" t="s">
        <v>2457</v>
      </c>
      <c r="C226" s="49" t="s">
        <v>2458</v>
      </c>
      <c r="D226" s="106" t="s">
        <v>2527</v>
      </c>
    </row>
    <row r="227" spans="1:4" x14ac:dyDescent="0.25">
      <c r="A227" s="49" t="s">
        <v>2486</v>
      </c>
      <c r="B227" s="258" t="s">
        <v>2480</v>
      </c>
      <c r="C227" s="49" t="s">
        <v>1565</v>
      </c>
      <c r="D227" s="106" t="s">
        <v>2528</v>
      </c>
    </row>
    <row r="228" spans="1:4" x14ac:dyDescent="0.25">
      <c r="A228" s="258" t="s">
        <v>513</v>
      </c>
      <c r="B228" s="258" t="s">
        <v>1825</v>
      </c>
      <c r="C228" s="49" t="s">
        <v>1290</v>
      </c>
      <c r="D228" s="106" t="s">
        <v>2504</v>
      </c>
    </row>
    <row r="229" spans="1:4" ht="68" customHeight="1" x14ac:dyDescent="0.25">
      <c r="A229" s="258" t="s">
        <v>1279</v>
      </c>
      <c r="B229" s="49" t="s">
        <v>2630</v>
      </c>
      <c r="C229" s="49" t="s">
        <v>2629</v>
      </c>
      <c r="D229" s="106" t="s">
        <v>2631</v>
      </c>
    </row>
    <row r="230" spans="1:4" x14ac:dyDescent="0.25">
      <c r="A230" s="258" t="s">
        <v>1812</v>
      </c>
      <c r="B230" s="258" t="s">
        <v>1570</v>
      </c>
      <c r="C230" s="258" t="s">
        <v>1638</v>
      </c>
      <c r="D230" s="106" t="s">
        <v>1570</v>
      </c>
    </row>
    <row r="231" spans="1:4" x14ac:dyDescent="0.25">
      <c r="A231" s="258" t="s">
        <v>1813</v>
      </c>
      <c r="B231" s="258" t="s">
        <v>1629</v>
      </c>
      <c r="C231" s="258" t="s">
        <v>1630</v>
      </c>
      <c r="D231" s="106" t="s">
        <v>2280</v>
      </c>
    </row>
    <row r="232" spans="1:4" x14ac:dyDescent="0.25">
      <c r="A232" s="258" t="s">
        <v>1814</v>
      </c>
      <c r="B232" s="258" t="s">
        <v>1631</v>
      </c>
      <c r="C232" s="258" t="s">
        <v>629</v>
      </c>
      <c r="D232" s="106" t="s">
        <v>2516</v>
      </c>
    </row>
    <row r="233" spans="1:4" x14ac:dyDescent="0.25">
      <c r="A233" s="258" t="s">
        <v>1815</v>
      </c>
      <c r="B233" s="258" t="s">
        <v>1291</v>
      </c>
      <c r="C233" s="258" t="s">
        <v>1517</v>
      </c>
      <c r="D233" s="106" t="s">
        <v>2517</v>
      </c>
    </row>
    <row r="234" spans="1:4" x14ac:dyDescent="0.25">
      <c r="A234" s="258" t="s">
        <v>1816</v>
      </c>
      <c r="B234" s="258" t="s">
        <v>1632</v>
      </c>
      <c r="C234" s="258" t="s">
        <v>1515</v>
      </c>
      <c r="D234" s="106" t="s">
        <v>2505</v>
      </c>
    </row>
    <row r="235" spans="1:4" x14ac:dyDescent="0.25">
      <c r="A235" s="258" t="s">
        <v>1817</v>
      </c>
      <c r="B235" s="258" t="s">
        <v>1571</v>
      </c>
      <c r="C235" s="258" t="s">
        <v>1516</v>
      </c>
      <c r="D235" s="106" t="s">
        <v>2506</v>
      </c>
    </row>
    <row r="236" spans="1:4" x14ac:dyDescent="0.25">
      <c r="A236" s="258" t="s">
        <v>1818</v>
      </c>
      <c r="B236" s="258" t="s">
        <v>1634</v>
      </c>
      <c r="C236" s="258" t="s">
        <v>1633</v>
      </c>
      <c r="D236" s="106" t="s">
        <v>2507</v>
      </c>
    </row>
    <row r="237" spans="1:4" x14ac:dyDescent="0.25">
      <c r="A237" s="258" t="s">
        <v>1819</v>
      </c>
      <c r="B237" s="258" t="s">
        <v>1826</v>
      </c>
      <c r="C237" s="258" t="s">
        <v>1827</v>
      </c>
      <c r="D237" s="106" t="s">
        <v>2508</v>
      </c>
    </row>
    <row r="238" spans="1:4" x14ac:dyDescent="0.25">
      <c r="A238" s="258" t="s">
        <v>1820</v>
      </c>
      <c r="B238" s="258" t="s">
        <v>1832</v>
      </c>
      <c r="C238" s="258" t="s">
        <v>1635</v>
      </c>
      <c r="D238" s="106" t="s">
        <v>2281</v>
      </c>
    </row>
    <row r="239" spans="1:4" x14ac:dyDescent="0.25">
      <c r="A239" s="258" t="s">
        <v>1821</v>
      </c>
      <c r="B239" s="258" t="s">
        <v>1836</v>
      </c>
      <c r="C239" s="258" t="s">
        <v>1835</v>
      </c>
      <c r="D239" s="106" t="s">
        <v>2509</v>
      </c>
    </row>
    <row r="240" spans="1:4" x14ac:dyDescent="0.25">
      <c r="A240" s="258" t="s">
        <v>1822</v>
      </c>
      <c r="B240" s="258" t="s">
        <v>1636</v>
      </c>
      <c r="C240" s="258" t="s">
        <v>1523</v>
      </c>
      <c r="D240" s="106" t="s">
        <v>2510</v>
      </c>
    </row>
    <row r="241" spans="1:4" x14ac:dyDescent="0.25">
      <c r="A241" s="258" t="s">
        <v>1831</v>
      </c>
      <c r="B241" s="258" t="s">
        <v>1829</v>
      </c>
      <c r="C241" s="258" t="s">
        <v>1830</v>
      </c>
      <c r="D241" s="106" t="s">
        <v>2511</v>
      </c>
    </row>
    <row r="242" spans="1:4" x14ac:dyDescent="0.25">
      <c r="A242" s="258" t="s">
        <v>1823</v>
      </c>
      <c r="B242" s="258" t="s">
        <v>1834</v>
      </c>
      <c r="C242" s="258" t="s">
        <v>1833</v>
      </c>
      <c r="D242" s="106" t="s">
        <v>2282</v>
      </c>
    </row>
    <row r="243" spans="1:4" x14ac:dyDescent="0.25">
      <c r="A243" s="258" t="s">
        <v>1824</v>
      </c>
      <c r="B243" s="258" t="s">
        <v>1637</v>
      </c>
      <c r="C243" s="258" t="s">
        <v>1828</v>
      </c>
      <c r="D243" s="106" t="s">
        <v>2512</v>
      </c>
    </row>
    <row r="244" spans="1:4" x14ac:dyDescent="0.25">
      <c r="A244" s="258" t="s">
        <v>1839</v>
      </c>
      <c r="B244" s="258" t="s">
        <v>1842</v>
      </c>
      <c r="C244" s="258" t="s">
        <v>1843</v>
      </c>
      <c r="D244" s="106" t="s">
        <v>2513</v>
      </c>
    </row>
    <row r="245" spans="1:4" x14ac:dyDescent="0.25">
      <c r="A245" s="258" t="s">
        <v>1840</v>
      </c>
      <c r="B245" s="258" t="s">
        <v>1845</v>
      </c>
      <c r="C245" s="258" t="s">
        <v>1844</v>
      </c>
      <c r="D245" s="106" t="s">
        <v>2514</v>
      </c>
    </row>
    <row r="246" spans="1:4" x14ac:dyDescent="0.25">
      <c r="A246" s="258" t="s">
        <v>1841</v>
      </c>
      <c r="B246" s="258" t="s">
        <v>1847</v>
      </c>
      <c r="C246" s="258" t="s">
        <v>1846</v>
      </c>
      <c r="D246" s="106" t="s">
        <v>2515</v>
      </c>
    </row>
    <row r="247" spans="1:4" x14ac:dyDescent="0.25">
      <c r="A247" s="49" t="s">
        <v>963</v>
      </c>
      <c r="B247" s="49" t="s">
        <v>1394</v>
      </c>
      <c r="C247" s="49" t="s">
        <v>952</v>
      </c>
      <c r="D247" s="106" t="s">
        <v>2024</v>
      </c>
    </row>
    <row r="248" spans="1:4" ht="46" x14ac:dyDescent="0.25">
      <c r="A248" s="49" t="s">
        <v>1481</v>
      </c>
      <c r="B248" s="49" t="s">
        <v>1482</v>
      </c>
      <c r="C248" s="49" t="s">
        <v>957</v>
      </c>
      <c r="D248" s="106" t="s">
        <v>2025</v>
      </c>
    </row>
    <row r="249" spans="1:4" ht="69" x14ac:dyDescent="0.25">
      <c r="A249" s="49" t="s">
        <v>1483</v>
      </c>
      <c r="B249" s="49" t="s">
        <v>1484</v>
      </c>
      <c r="C249" s="49" t="s">
        <v>2450</v>
      </c>
      <c r="D249" s="106" t="s">
        <v>2231</v>
      </c>
    </row>
    <row r="250" spans="1:4" ht="69" x14ac:dyDescent="0.25">
      <c r="A250" s="49" t="s">
        <v>1485</v>
      </c>
      <c r="B250" s="49" t="s">
        <v>1486</v>
      </c>
      <c r="C250" s="49" t="s">
        <v>1487</v>
      </c>
      <c r="D250" s="106" t="s">
        <v>2026</v>
      </c>
    </row>
    <row r="251" spans="1:4" ht="57.5" x14ac:dyDescent="0.25">
      <c r="A251" s="49" t="s">
        <v>1488</v>
      </c>
      <c r="B251" s="49" t="s">
        <v>1489</v>
      </c>
      <c r="C251" s="49" t="s">
        <v>1490</v>
      </c>
      <c r="D251" s="106" t="s">
        <v>2027</v>
      </c>
    </row>
    <row r="252" spans="1:4" x14ac:dyDescent="0.25">
      <c r="A252" s="49" t="s">
        <v>961</v>
      </c>
      <c r="B252" s="49" t="s">
        <v>1299</v>
      </c>
      <c r="C252" s="49" t="s">
        <v>950</v>
      </c>
      <c r="D252" s="106" t="s">
        <v>2028</v>
      </c>
    </row>
    <row r="253" spans="1:4" ht="80.5" x14ac:dyDescent="0.25">
      <c r="A253" s="49" t="s">
        <v>1461</v>
      </c>
      <c r="B253" s="49" t="s">
        <v>1462</v>
      </c>
      <c r="C253" s="49" t="s">
        <v>1463</v>
      </c>
      <c r="D253" s="106" t="s">
        <v>2029</v>
      </c>
    </row>
    <row r="254" spans="1:4" ht="92" x14ac:dyDescent="0.25">
      <c r="A254" s="49" t="s">
        <v>1464</v>
      </c>
      <c r="B254" s="49" t="s">
        <v>1465</v>
      </c>
      <c r="C254" s="49" t="s">
        <v>955</v>
      </c>
      <c r="D254" s="106" t="s">
        <v>2030</v>
      </c>
    </row>
    <row r="255" spans="1:4" ht="57.5" x14ac:dyDescent="0.25">
      <c r="A255" s="49" t="s">
        <v>1466</v>
      </c>
      <c r="B255" s="49" t="s">
        <v>1467</v>
      </c>
      <c r="C255" s="49" t="s">
        <v>1468</v>
      </c>
      <c r="D255" s="106" t="s">
        <v>2031</v>
      </c>
    </row>
    <row r="256" spans="1:4" ht="69" x14ac:dyDescent="0.25">
      <c r="A256" s="49" t="s">
        <v>1469</v>
      </c>
      <c r="B256" s="49" t="s">
        <v>1470</v>
      </c>
      <c r="C256" s="49" t="s">
        <v>1471</v>
      </c>
      <c r="D256" s="106" t="s">
        <v>2032</v>
      </c>
    </row>
    <row r="257" spans="1:4" x14ac:dyDescent="0.25">
      <c r="A257" s="49" t="s">
        <v>962</v>
      </c>
      <c r="B257" s="49" t="s">
        <v>1342</v>
      </c>
      <c r="C257" s="49" t="s">
        <v>951</v>
      </c>
      <c r="D257" s="106" t="s">
        <v>2033</v>
      </c>
    </row>
    <row r="258" spans="1:4" ht="69" x14ac:dyDescent="0.25">
      <c r="A258" s="49" t="s">
        <v>1472</v>
      </c>
      <c r="B258" s="49" t="s">
        <v>1473</v>
      </c>
      <c r="C258" s="49" t="s">
        <v>2577</v>
      </c>
      <c r="D258" s="106" t="s">
        <v>2034</v>
      </c>
    </row>
    <row r="259" spans="1:4" ht="80.5" x14ac:dyDescent="0.25">
      <c r="A259" s="49" t="s">
        <v>1474</v>
      </c>
      <c r="B259" s="49" t="s">
        <v>1475</v>
      </c>
      <c r="C259" s="49" t="s">
        <v>956</v>
      </c>
      <c r="D259" s="106" t="s">
        <v>2035</v>
      </c>
    </row>
    <row r="260" spans="1:4" ht="57.5" x14ac:dyDescent="0.25">
      <c r="A260" s="49" t="s">
        <v>1476</v>
      </c>
      <c r="B260" s="49" t="s">
        <v>1477</v>
      </c>
      <c r="C260" s="49" t="s">
        <v>2578</v>
      </c>
      <c r="D260" s="106" t="s">
        <v>2036</v>
      </c>
    </row>
    <row r="261" spans="1:4" ht="57.5" x14ac:dyDescent="0.25">
      <c r="A261" s="49" t="s">
        <v>1478</v>
      </c>
      <c r="B261" s="49" t="s">
        <v>1479</v>
      </c>
      <c r="C261" s="49" t="s">
        <v>1480</v>
      </c>
      <c r="D261" s="106" t="s">
        <v>2037</v>
      </c>
    </row>
    <row r="262" spans="1:4" x14ac:dyDescent="0.25">
      <c r="A262" s="49" t="s">
        <v>965</v>
      </c>
      <c r="B262" s="49" t="s">
        <v>1446</v>
      </c>
      <c r="C262" s="49" t="s">
        <v>954</v>
      </c>
      <c r="D262" s="106" t="s">
        <v>2038</v>
      </c>
    </row>
    <row r="263" spans="1:4" ht="46" x14ac:dyDescent="0.25">
      <c r="A263" s="49" t="s">
        <v>1500</v>
      </c>
      <c r="B263" s="49" t="s">
        <v>1501</v>
      </c>
      <c r="C263" s="49" t="s">
        <v>959</v>
      </c>
      <c r="D263" s="106" t="s">
        <v>2039</v>
      </c>
    </row>
    <row r="264" spans="1:4" ht="80.5" x14ac:dyDescent="0.25">
      <c r="A264" s="49" t="s">
        <v>1502</v>
      </c>
      <c r="B264" s="49" t="s">
        <v>1503</v>
      </c>
      <c r="C264" s="49" t="s">
        <v>2579</v>
      </c>
      <c r="D264" s="106" t="s">
        <v>2040</v>
      </c>
    </row>
    <row r="265" spans="1:4" ht="57.5" x14ac:dyDescent="0.25">
      <c r="A265" s="49" t="s">
        <v>1504</v>
      </c>
      <c r="B265" s="49" t="s">
        <v>1505</v>
      </c>
      <c r="C265" s="49" t="s">
        <v>1506</v>
      </c>
      <c r="D265" s="106" t="s">
        <v>2041</v>
      </c>
    </row>
    <row r="266" spans="1:4" ht="57.5" x14ac:dyDescent="0.25">
      <c r="A266" s="49" t="s">
        <v>1507</v>
      </c>
      <c r="B266" s="49" t="s">
        <v>1508</v>
      </c>
      <c r="C266" s="49" t="s">
        <v>1509</v>
      </c>
      <c r="D266" s="106" t="s">
        <v>2042</v>
      </c>
    </row>
    <row r="267" spans="1:4" x14ac:dyDescent="0.25">
      <c r="A267" s="49" t="s">
        <v>964</v>
      </c>
      <c r="B267" s="49" t="s">
        <v>1419</v>
      </c>
      <c r="C267" s="49" t="s">
        <v>953</v>
      </c>
      <c r="D267" s="106" t="s">
        <v>2043</v>
      </c>
    </row>
    <row r="268" spans="1:4" ht="46" x14ac:dyDescent="0.25">
      <c r="A268" s="49" t="s">
        <v>1491</v>
      </c>
      <c r="B268" s="49" t="s">
        <v>1492</v>
      </c>
      <c r="C268" s="49" t="s">
        <v>958</v>
      </c>
      <c r="D268" s="106" t="s">
        <v>2044</v>
      </c>
    </row>
    <row r="269" spans="1:4" ht="57.5" x14ac:dyDescent="0.25">
      <c r="A269" s="49" t="s">
        <v>1493</v>
      </c>
      <c r="B269" s="49" t="s">
        <v>1494</v>
      </c>
      <c r="C269" s="49" t="s">
        <v>1495</v>
      </c>
      <c r="D269" s="106" t="s">
        <v>2045</v>
      </c>
    </row>
    <row r="270" spans="1:4" ht="46" x14ac:dyDescent="0.25">
      <c r="A270" s="49" t="s">
        <v>1496</v>
      </c>
      <c r="B270" s="49" t="s">
        <v>1497</v>
      </c>
      <c r="C270" s="49" t="s">
        <v>2580</v>
      </c>
      <c r="D270" s="106" t="s">
        <v>2046</v>
      </c>
    </row>
    <row r="271" spans="1:4" ht="46" x14ac:dyDescent="0.25">
      <c r="A271" s="49" t="s">
        <v>1498</v>
      </c>
      <c r="B271" s="49" t="s">
        <v>1499</v>
      </c>
      <c r="C271" s="49" t="s">
        <v>2581</v>
      </c>
      <c r="D271" s="106" t="s">
        <v>2047</v>
      </c>
    </row>
    <row r="272" spans="1:4" x14ac:dyDescent="0.25">
      <c r="A272" s="257" t="s">
        <v>85</v>
      </c>
      <c r="B272" s="49" t="s">
        <v>676</v>
      </c>
      <c r="C272" s="105" t="s">
        <v>1778</v>
      </c>
      <c r="D272" s="106" t="s">
        <v>2724</v>
      </c>
    </row>
    <row r="273" spans="1:4" ht="69" x14ac:dyDescent="0.25">
      <c r="A273" s="257" t="s">
        <v>677</v>
      </c>
      <c r="B273" s="49" t="s">
        <v>678</v>
      </c>
      <c r="C273" s="49" t="s">
        <v>2440</v>
      </c>
      <c r="D273" s="106" t="s">
        <v>2725</v>
      </c>
    </row>
    <row r="274" spans="1:4" x14ac:dyDescent="0.25">
      <c r="A274" s="257" t="s">
        <v>141</v>
      </c>
      <c r="B274" s="49" t="s">
        <v>679</v>
      </c>
      <c r="C274" s="105" t="s">
        <v>680</v>
      </c>
      <c r="D274" s="106" t="s">
        <v>2048</v>
      </c>
    </row>
    <row r="275" spans="1:4" ht="92" x14ac:dyDescent="0.25">
      <c r="A275" s="257" t="s">
        <v>681</v>
      </c>
      <c r="B275" s="49" t="s">
        <v>682</v>
      </c>
      <c r="C275" s="49" t="s">
        <v>2441</v>
      </c>
      <c r="D275" s="106" t="s">
        <v>2049</v>
      </c>
    </row>
    <row r="276" spans="1:4" ht="23" x14ac:dyDescent="0.25">
      <c r="A276" s="257" t="s">
        <v>383</v>
      </c>
      <c r="B276" s="49" t="s">
        <v>683</v>
      </c>
      <c r="C276" s="49" t="s">
        <v>1666</v>
      </c>
      <c r="D276" s="106" t="s">
        <v>2050</v>
      </c>
    </row>
    <row r="277" spans="1:4" ht="23" x14ac:dyDescent="0.25">
      <c r="A277" s="257" t="s">
        <v>384</v>
      </c>
      <c r="B277" s="49" t="s">
        <v>684</v>
      </c>
      <c r="C277" s="49" t="s">
        <v>966</v>
      </c>
      <c r="D277" s="106" t="s">
        <v>2051</v>
      </c>
    </row>
    <row r="278" spans="1:4" ht="34.5" x14ac:dyDescent="0.25">
      <c r="A278" s="257" t="s">
        <v>385</v>
      </c>
      <c r="B278" s="49" t="s">
        <v>2442</v>
      </c>
      <c r="C278" s="49" t="s">
        <v>2443</v>
      </c>
      <c r="D278" s="106" t="s">
        <v>2052</v>
      </c>
    </row>
    <row r="279" spans="1:4" ht="34.5" x14ac:dyDescent="0.25">
      <c r="A279" s="257" t="s">
        <v>386</v>
      </c>
      <c r="B279" s="49" t="s">
        <v>685</v>
      </c>
      <c r="C279" s="49" t="s">
        <v>1805</v>
      </c>
      <c r="D279" s="106" t="s">
        <v>2053</v>
      </c>
    </row>
    <row r="280" spans="1:4" ht="23" x14ac:dyDescent="0.25">
      <c r="A280" s="257" t="s">
        <v>387</v>
      </c>
      <c r="B280" s="49" t="s">
        <v>686</v>
      </c>
      <c r="C280" s="49" t="s">
        <v>1806</v>
      </c>
      <c r="D280" s="106" t="s">
        <v>2727</v>
      </c>
    </row>
    <row r="281" spans="1:4" ht="23" x14ac:dyDescent="0.25">
      <c r="A281" s="257" t="s">
        <v>388</v>
      </c>
      <c r="B281" s="49" t="s">
        <v>687</v>
      </c>
      <c r="C281" s="49" t="s">
        <v>1808</v>
      </c>
      <c r="D281" s="106" t="s">
        <v>2054</v>
      </c>
    </row>
    <row r="282" spans="1:4" ht="34.5" x14ac:dyDescent="0.25">
      <c r="A282" s="257" t="s">
        <v>389</v>
      </c>
      <c r="B282" s="49" t="s">
        <v>688</v>
      </c>
      <c r="C282" s="49" t="s">
        <v>1807</v>
      </c>
      <c r="D282" s="106" t="s">
        <v>2055</v>
      </c>
    </row>
    <row r="283" spans="1:4" ht="23" x14ac:dyDescent="0.25">
      <c r="A283" s="257" t="s">
        <v>390</v>
      </c>
      <c r="B283" s="49" t="s">
        <v>689</v>
      </c>
      <c r="C283" s="49" t="s">
        <v>1688</v>
      </c>
      <c r="D283" s="106" t="s">
        <v>2056</v>
      </c>
    </row>
    <row r="284" spans="1:4" x14ac:dyDescent="0.25">
      <c r="A284" s="257" t="s">
        <v>144</v>
      </c>
      <c r="B284" s="49" t="s">
        <v>690</v>
      </c>
      <c r="C284" s="105" t="s">
        <v>1809</v>
      </c>
      <c r="D284" s="106" t="s">
        <v>2726</v>
      </c>
    </row>
    <row r="285" spans="1:4" ht="80.5" x14ac:dyDescent="0.25">
      <c r="A285" s="257" t="s">
        <v>691</v>
      </c>
      <c r="B285" s="49" t="s">
        <v>692</v>
      </c>
      <c r="C285" s="49" t="s">
        <v>1810</v>
      </c>
      <c r="D285" s="106" t="s">
        <v>2728</v>
      </c>
    </row>
    <row r="286" spans="1:4" ht="34.5" x14ac:dyDescent="0.25">
      <c r="A286" s="257" t="s">
        <v>391</v>
      </c>
      <c r="B286" s="49" t="s">
        <v>693</v>
      </c>
      <c r="C286" s="49" t="s">
        <v>2551</v>
      </c>
      <c r="D286" s="106" t="s">
        <v>2729</v>
      </c>
    </row>
    <row r="287" spans="1:4" ht="34.5" x14ac:dyDescent="0.25">
      <c r="A287" s="257" t="s">
        <v>392</v>
      </c>
      <c r="B287" s="49" t="s">
        <v>694</v>
      </c>
      <c r="C287" s="49" t="s">
        <v>2552</v>
      </c>
      <c r="D287" s="106" t="s">
        <v>2730</v>
      </c>
    </row>
    <row r="288" spans="1:4" ht="23" x14ac:dyDescent="0.25">
      <c r="A288" s="257" t="s">
        <v>393</v>
      </c>
      <c r="B288" s="49" t="s">
        <v>695</v>
      </c>
      <c r="C288" s="49" t="s">
        <v>1689</v>
      </c>
      <c r="D288" s="106" t="s">
        <v>2731</v>
      </c>
    </row>
    <row r="289" spans="1:4" ht="23" x14ac:dyDescent="0.25">
      <c r="A289" s="257" t="s">
        <v>394</v>
      </c>
      <c r="B289" s="49" t="s">
        <v>696</v>
      </c>
      <c r="C289" s="49" t="s">
        <v>1690</v>
      </c>
      <c r="D289" s="106" t="s">
        <v>2737</v>
      </c>
    </row>
    <row r="290" spans="1:4" ht="46" x14ac:dyDescent="0.25">
      <c r="A290" s="257" t="s">
        <v>395</v>
      </c>
      <c r="B290" s="49" t="s">
        <v>697</v>
      </c>
      <c r="C290" s="49" t="s">
        <v>1691</v>
      </c>
      <c r="D290" s="106" t="s">
        <v>2732</v>
      </c>
    </row>
    <row r="291" spans="1:4" ht="23" x14ac:dyDescent="0.25">
      <c r="A291" s="257" t="s">
        <v>396</v>
      </c>
      <c r="B291" s="49" t="s">
        <v>698</v>
      </c>
      <c r="C291" s="49" t="s">
        <v>1692</v>
      </c>
      <c r="D291" s="106" t="s">
        <v>2057</v>
      </c>
    </row>
    <row r="292" spans="1:4" ht="23" x14ac:dyDescent="0.25">
      <c r="A292" s="257" t="s">
        <v>397</v>
      </c>
      <c r="B292" s="49" t="s">
        <v>699</v>
      </c>
      <c r="C292" s="49" t="s">
        <v>1693</v>
      </c>
      <c r="D292" s="106" t="s">
        <v>2733</v>
      </c>
    </row>
    <row r="293" spans="1:4" ht="23" x14ac:dyDescent="0.25">
      <c r="A293" s="257" t="s">
        <v>398</v>
      </c>
      <c r="B293" s="49" t="s">
        <v>700</v>
      </c>
      <c r="C293" s="49" t="s">
        <v>1694</v>
      </c>
      <c r="D293" s="106" t="s">
        <v>2734</v>
      </c>
    </row>
    <row r="294" spans="1:4" ht="34.5" x14ac:dyDescent="0.25">
      <c r="A294" s="257" t="s">
        <v>399</v>
      </c>
      <c r="B294" s="49" t="s">
        <v>701</v>
      </c>
      <c r="C294" s="49" t="s">
        <v>1695</v>
      </c>
      <c r="D294" s="106" t="s">
        <v>2735</v>
      </c>
    </row>
    <row r="295" spans="1:4" s="53" customFormat="1" ht="46" x14ac:dyDescent="0.25">
      <c r="A295" s="257" t="s">
        <v>400</v>
      </c>
      <c r="B295" s="49" t="s">
        <v>702</v>
      </c>
      <c r="C295" s="49" t="s">
        <v>1696</v>
      </c>
      <c r="D295" s="106" t="s">
        <v>2738</v>
      </c>
    </row>
    <row r="296" spans="1:4" ht="23" x14ac:dyDescent="0.25">
      <c r="A296" s="257" t="s">
        <v>401</v>
      </c>
      <c r="B296" s="49" t="s">
        <v>1697</v>
      </c>
      <c r="C296" s="49" t="s">
        <v>1698</v>
      </c>
      <c r="D296" s="106" t="s">
        <v>2736</v>
      </c>
    </row>
    <row r="297" spans="1:4" ht="46" x14ac:dyDescent="0.25">
      <c r="A297" s="257" t="s">
        <v>402</v>
      </c>
      <c r="B297" s="49" t="s">
        <v>703</v>
      </c>
      <c r="C297" s="49" t="s">
        <v>2444</v>
      </c>
      <c r="D297" s="106" t="s">
        <v>2058</v>
      </c>
    </row>
    <row r="298" spans="1:4" x14ac:dyDescent="0.25">
      <c r="A298" s="257" t="s">
        <v>147</v>
      </c>
      <c r="B298" s="49" t="s">
        <v>704</v>
      </c>
      <c r="C298" s="105" t="s">
        <v>2445</v>
      </c>
      <c r="D298" s="106" t="s">
        <v>2059</v>
      </c>
    </row>
    <row r="299" spans="1:4" ht="92" x14ac:dyDescent="0.25">
      <c r="A299" s="257" t="s">
        <v>705</v>
      </c>
      <c r="B299" s="49" t="s">
        <v>706</v>
      </c>
      <c r="C299" s="49" t="s">
        <v>2446</v>
      </c>
      <c r="D299" s="106" t="s">
        <v>2232</v>
      </c>
    </row>
    <row r="300" spans="1:4" ht="34.5" x14ac:dyDescent="0.25">
      <c r="A300" s="257" t="s">
        <v>403</v>
      </c>
      <c r="B300" s="49" t="s">
        <v>707</v>
      </c>
      <c r="C300" s="49" t="s">
        <v>2553</v>
      </c>
      <c r="D300" s="106" t="s">
        <v>2233</v>
      </c>
    </row>
    <row r="301" spans="1:4" ht="34.5" x14ac:dyDescent="0.25">
      <c r="A301" s="257" t="s">
        <v>404</v>
      </c>
      <c r="B301" s="49" t="s">
        <v>708</v>
      </c>
      <c r="C301" s="49" t="s">
        <v>2554</v>
      </c>
      <c r="D301" s="106" t="s">
        <v>2060</v>
      </c>
    </row>
    <row r="302" spans="1:4" ht="23" x14ac:dyDescent="0.25">
      <c r="A302" s="257" t="s">
        <v>405</v>
      </c>
      <c r="B302" s="49" t="s">
        <v>709</v>
      </c>
      <c r="C302" s="49" t="s">
        <v>1699</v>
      </c>
      <c r="D302" s="106" t="s">
        <v>2234</v>
      </c>
    </row>
    <row r="303" spans="1:4" ht="34.5" x14ac:dyDescent="0.25">
      <c r="A303" s="257" t="s">
        <v>406</v>
      </c>
      <c r="B303" s="49" t="s">
        <v>710</v>
      </c>
      <c r="C303" s="49" t="s">
        <v>2447</v>
      </c>
      <c r="D303" s="106" t="s">
        <v>2061</v>
      </c>
    </row>
    <row r="304" spans="1:4" ht="46" x14ac:dyDescent="0.25">
      <c r="A304" s="257" t="s">
        <v>407</v>
      </c>
      <c r="B304" s="49" t="s">
        <v>711</v>
      </c>
      <c r="C304" s="49" t="s">
        <v>2582</v>
      </c>
      <c r="D304" s="106" t="s">
        <v>2062</v>
      </c>
    </row>
    <row r="305" spans="1:4" ht="34.5" x14ac:dyDescent="0.25">
      <c r="A305" s="257" t="s">
        <v>408</v>
      </c>
      <c r="B305" s="49" t="s">
        <v>712</v>
      </c>
      <c r="C305" s="49" t="s">
        <v>1700</v>
      </c>
      <c r="D305" s="106" t="s">
        <v>2063</v>
      </c>
    </row>
    <row r="306" spans="1:4" ht="34.5" x14ac:dyDescent="0.25">
      <c r="A306" s="257" t="s">
        <v>409</v>
      </c>
      <c r="B306" s="49" t="s">
        <v>713</v>
      </c>
      <c r="C306" s="49" t="s">
        <v>1746</v>
      </c>
      <c r="D306" s="106" t="s">
        <v>2064</v>
      </c>
    </row>
    <row r="307" spans="1:4" ht="46" x14ac:dyDescent="0.25">
      <c r="A307" s="257" t="s">
        <v>410</v>
      </c>
      <c r="B307" s="49" t="s">
        <v>714</v>
      </c>
      <c r="C307" s="49" t="s">
        <v>2448</v>
      </c>
      <c r="D307" s="106" t="s">
        <v>2235</v>
      </c>
    </row>
    <row r="308" spans="1:4" ht="23" x14ac:dyDescent="0.25">
      <c r="A308" s="257" t="s">
        <v>411</v>
      </c>
      <c r="B308" s="49" t="s">
        <v>715</v>
      </c>
      <c r="C308" s="49" t="s">
        <v>1752</v>
      </c>
      <c r="D308" s="106" t="s">
        <v>2065</v>
      </c>
    </row>
    <row r="309" spans="1:4" ht="34.5" x14ac:dyDescent="0.25">
      <c r="A309" s="257" t="s">
        <v>412</v>
      </c>
      <c r="B309" s="49" t="s">
        <v>716</v>
      </c>
      <c r="C309" s="49" t="s">
        <v>1701</v>
      </c>
      <c r="D309" s="106" t="s">
        <v>2066</v>
      </c>
    </row>
    <row r="310" spans="1:4" ht="34.5" x14ac:dyDescent="0.25">
      <c r="A310" s="257" t="s">
        <v>413</v>
      </c>
      <c r="B310" s="49" t="s">
        <v>717</v>
      </c>
      <c r="C310" s="49" t="s">
        <v>2449</v>
      </c>
      <c r="D310" s="106" t="s">
        <v>2067</v>
      </c>
    </row>
    <row r="311" spans="1:4" ht="23" x14ac:dyDescent="0.25">
      <c r="A311" s="257" t="s">
        <v>415</v>
      </c>
      <c r="B311" s="49" t="s">
        <v>718</v>
      </c>
      <c r="C311" s="49" t="s">
        <v>1660</v>
      </c>
      <c r="D311" s="106" t="s">
        <v>2236</v>
      </c>
    </row>
    <row r="312" spans="1:4" x14ac:dyDescent="0.25">
      <c r="A312" s="257" t="s">
        <v>417</v>
      </c>
      <c r="B312" s="49" t="s">
        <v>719</v>
      </c>
      <c r="C312" s="49" t="s">
        <v>1702</v>
      </c>
      <c r="D312" s="106" t="s">
        <v>2068</v>
      </c>
    </row>
    <row r="313" spans="1:4" x14ac:dyDescent="0.25">
      <c r="A313" s="257" t="s">
        <v>150</v>
      </c>
      <c r="B313" s="49" t="s">
        <v>481</v>
      </c>
      <c r="C313" s="105" t="s">
        <v>1758</v>
      </c>
      <c r="D313" s="106" t="s">
        <v>1872</v>
      </c>
    </row>
    <row r="314" spans="1:4" ht="69" x14ac:dyDescent="0.25">
      <c r="A314" s="257" t="s">
        <v>720</v>
      </c>
      <c r="B314" s="49" t="s">
        <v>483</v>
      </c>
      <c r="C314" s="49" t="s">
        <v>2565</v>
      </c>
      <c r="D314" s="106" t="s">
        <v>1873</v>
      </c>
    </row>
    <row r="315" spans="1:4" ht="23" x14ac:dyDescent="0.25">
      <c r="A315" s="257" t="s">
        <v>419</v>
      </c>
      <c r="B315" s="49" t="s">
        <v>721</v>
      </c>
      <c r="C315" s="49" t="s">
        <v>1780</v>
      </c>
      <c r="D315" s="106" t="s">
        <v>2069</v>
      </c>
    </row>
    <row r="316" spans="1:4" ht="23" x14ac:dyDescent="0.25">
      <c r="A316" s="257" t="s">
        <v>420</v>
      </c>
      <c r="B316" s="49" t="s">
        <v>1784</v>
      </c>
      <c r="C316" s="49" t="s">
        <v>1781</v>
      </c>
      <c r="D316" s="106" t="s">
        <v>2739</v>
      </c>
    </row>
    <row r="317" spans="1:4" ht="23" x14ac:dyDescent="0.25">
      <c r="A317" s="257" t="s">
        <v>421</v>
      </c>
      <c r="B317" s="49" t="s">
        <v>722</v>
      </c>
      <c r="C317" s="49" t="s">
        <v>1782</v>
      </c>
      <c r="D317" s="106" t="s">
        <v>2070</v>
      </c>
    </row>
    <row r="318" spans="1:4" ht="23" x14ac:dyDescent="0.25">
      <c r="A318" s="257" t="s">
        <v>422</v>
      </c>
      <c r="B318" s="49" t="s">
        <v>723</v>
      </c>
      <c r="C318" s="49" t="s">
        <v>2327</v>
      </c>
      <c r="D318" s="106" t="s">
        <v>2071</v>
      </c>
    </row>
    <row r="319" spans="1:4" ht="34.5" x14ac:dyDescent="0.25">
      <c r="A319" s="257" t="s">
        <v>423</v>
      </c>
      <c r="B319" s="49" t="s">
        <v>724</v>
      </c>
      <c r="C319" s="49" t="s">
        <v>2337</v>
      </c>
      <c r="D319" s="106" t="s">
        <v>2072</v>
      </c>
    </row>
    <row r="320" spans="1:4" ht="23" x14ac:dyDescent="0.25">
      <c r="A320" s="257" t="s">
        <v>424</v>
      </c>
      <c r="B320" s="49" t="s">
        <v>725</v>
      </c>
      <c r="C320" s="49" t="s">
        <v>1783</v>
      </c>
      <c r="D320" s="106" t="s">
        <v>2073</v>
      </c>
    </row>
    <row r="321" spans="1:4" ht="23" x14ac:dyDescent="0.25">
      <c r="A321" s="257" t="s">
        <v>1779</v>
      </c>
      <c r="B321" s="49" t="s">
        <v>726</v>
      </c>
      <c r="C321" s="49" t="s">
        <v>2347</v>
      </c>
      <c r="D321" s="106" t="s">
        <v>2074</v>
      </c>
    </row>
    <row r="322" spans="1:4" x14ac:dyDescent="0.25">
      <c r="A322" s="257" t="s">
        <v>74</v>
      </c>
      <c r="B322" s="49" t="s">
        <v>854</v>
      </c>
      <c r="C322" s="105" t="s">
        <v>1659</v>
      </c>
      <c r="D322" s="106" t="s">
        <v>2237</v>
      </c>
    </row>
    <row r="323" spans="1:4" ht="69" x14ac:dyDescent="0.25">
      <c r="A323" s="257" t="s">
        <v>855</v>
      </c>
      <c r="B323" s="49" t="s">
        <v>856</v>
      </c>
      <c r="C323" s="49" t="s">
        <v>2414</v>
      </c>
      <c r="D323" s="106" t="s">
        <v>2238</v>
      </c>
    </row>
    <row r="324" spans="1:4" s="53" customFormat="1" x14ac:dyDescent="0.25">
      <c r="A324" s="257" t="s">
        <v>96</v>
      </c>
      <c r="B324" s="49" t="s">
        <v>857</v>
      </c>
      <c r="C324" s="105" t="s">
        <v>1654</v>
      </c>
      <c r="D324" s="106" t="s">
        <v>2239</v>
      </c>
    </row>
    <row r="325" spans="1:4" ht="80.5" x14ac:dyDescent="0.25">
      <c r="A325" s="257" t="s">
        <v>858</v>
      </c>
      <c r="B325" s="49" t="s">
        <v>859</v>
      </c>
      <c r="C325" s="49" t="s">
        <v>2415</v>
      </c>
      <c r="D325" s="106" t="s">
        <v>2240</v>
      </c>
    </row>
    <row r="326" spans="1:4" ht="23" x14ac:dyDescent="0.25">
      <c r="A326" s="257" t="s">
        <v>256</v>
      </c>
      <c r="B326" s="49" t="s">
        <v>860</v>
      </c>
      <c r="C326" s="49" t="s">
        <v>2416</v>
      </c>
      <c r="D326" s="106" t="s">
        <v>2241</v>
      </c>
    </row>
    <row r="327" spans="1:4" ht="23" x14ac:dyDescent="0.25">
      <c r="A327" s="257" t="s">
        <v>257</v>
      </c>
      <c r="B327" s="49" t="s">
        <v>861</v>
      </c>
      <c r="C327" s="49" t="s">
        <v>2417</v>
      </c>
      <c r="D327" s="106" t="s">
        <v>2242</v>
      </c>
    </row>
    <row r="328" spans="1:4" ht="23" x14ac:dyDescent="0.25">
      <c r="A328" s="257" t="s">
        <v>258</v>
      </c>
      <c r="B328" s="49" t="s">
        <v>862</v>
      </c>
      <c r="C328" s="49" t="s">
        <v>1661</v>
      </c>
      <c r="D328" s="106" t="s">
        <v>2243</v>
      </c>
    </row>
    <row r="329" spans="1:4" ht="23" x14ac:dyDescent="0.25">
      <c r="A329" s="257" t="s">
        <v>259</v>
      </c>
      <c r="B329" s="49" t="s">
        <v>863</v>
      </c>
      <c r="C329" s="49" t="s">
        <v>864</v>
      </c>
      <c r="D329" s="106" t="s">
        <v>2244</v>
      </c>
    </row>
    <row r="330" spans="1:4" ht="34.5" x14ac:dyDescent="0.25">
      <c r="A330" s="257" t="s">
        <v>260</v>
      </c>
      <c r="B330" s="49" t="s">
        <v>865</v>
      </c>
      <c r="C330" s="49" t="s">
        <v>1703</v>
      </c>
      <c r="D330" s="106" t="s">
        <v>2245</v>
      </c>
    </row>
    <row r="331" spans="1:4" ht="23" x14ac:dyDescent="0.25">
      <c r="A331" s="257" t="s">
        <v>261</v>
      </c>
      <c r="B331" s="49" t="s">
        <v>866</v>
      </c>
      <c r="C331" s="49" t="s">
        <v>1704</v>
      </c>
      <c r="D331" s="106" t="s">
        <v>2246</v>
      </c>
    </row>
    <row r="332" spans="1:4" x14ac:dyDescent="0.25">
      <c r="A332" s="257" t="s">
        <v>98</v>
      </c>
      <c r="B332" s="49" t="s">
        <v>867</v>
      </c>
      <c r="C332" s="105" t="s">
        <v>2583</v>
      </c>
      <c r="D332" s="106" t="s">
        <v>2247</v>
      </c>
    </row>
    <row r="333" spans="1:4" ht="92" x14ac:dyDescent="0.25">
      <c r="A333" s="257" t="s">
        <v>868</v>
      </c>
      <c r="B333" s="49" t="s">
        <v>869</v>
      </c>
      <c r="C333" s="49" t="s">
        <v>2418</v>
      </c>
      <c r="D333" s="106" t="s">
        <v>2248</v>
      </c>
    </row>
    <row r="334" spans="1:4" ht="23" x14ac:dyDescent="0.25">
      <c r="A334" s="257" t="s">
        <v>262</v>
      </c>
      <c r="B334" s="49" t="s">
        <v>870</v>
      </c>
      <c r="C334" s="49" t="s">
        <v>2555</v>
      </c>
      <c r="D334" s="106" t="s">
        <v>2249</v>
      </c>
    </row>
    <row r="335" spans="1:4" ht="23" x14ac:dyDescent="0.25">
      <c r="A335" s="257" t="s">
        <v>263</v>
      </c>
      <c r="B335" s="49" t="s">
        <v>871</v>
      </c>
      <c r="C335" s="49" t="s">
        <v>2584</v>
      </c>
      <c r="D335" s="106" t="s">
        <v>2250</v>
      </c>
    </row>
    <row r="336" spans="1:4" ht="23" x14ac:dyDescent="0.25">
      <c r="A336" s="257" t="s">
        <v>264</v>
      </c>
      <c r="B336" s="49" t="s">
        <v>872</v>
      </c>
      <c r="C336" s="49" t="s">
        <v>2419</v>
      </c>
      <c r="D336" s="106" t="s">
        <v>2251</v>
      </c>
    </row>
    <row r="337" spans="1:4" ht="23" x14ac:dyDescent="0.25">
      <c r="A337" s="257" t="s">
        <v>265</v>
      </c>
      <c r="B337" s="49" t="s">
        <v>873</v>
      </c>
      <c r="C337" s="49" t="s">
        <v>2420</v>
      </c>
      <c r="D337" s="106" t="s">
        <v>2252</v>
      </c>
    </row>
    <row r="338" spans="1:4" x14ac:dyDescent="0.25">
      <c r="A338" s="257" t="s">
        <v>266</v>
      </c>
      <c r="B338" s="49" t="s">
        <v>874</v>
      </c>
      <c r="C338" s="49" t="s">
        <v>1705</v>
      </c>
      <c r="D338" s="106" t="s">
        <v>2253</v>
      </c>
    </row>
    <row r="339" spans="1:4" ht="34.5" x14ac:dyDescent="0.25">
      <c r="A339" s="257" t="s">
        <v>267</v>
      </c>
      <c r="B339" s="49" t="s">
        <v>875</v>
      </c>
      <c r="C339" s="49" t="s">
        <v>2421</v>
      </c>
      <c r="D339" s="106" t="s">
        <v>2254</v>
      </c>
    </row>
    <row r="340" spans="1:4" ht="46" x14ac:dyDescent="0.25">
      <c r="A340" s="257" t="s">
        <v>268</v>
      </c>
      <c r="B340" s="49" t="s">
        <v>876</v>
      </c>
      <c r="C340" s="49" t="s">
        <v>1728</v>
      </c>
      <c r="D340" s="106" t="s">
        <v>2255</v>
      </c>
    </row>
    <row r="341" spans="1:4" ht="23" x14ac:dyDescent="0.25">
      <c r="A341" s="257" t="s">
        <v>269</v>
      </c>
      <c r="B341" s="49" t="s">
        <v>877</v>
      </c>
      <c r="C341" s="49" t="s">
        <v>1706</v>
      </c>
      <c r="D341" s="106" t="s">
        <v>2075</v>
      </c>
    </row>
    <row r="342" spans="1:4" ht="23" x14ac:dyDescent="0.25">
      <c r="A342" s="257" t="s">
        <v>270</v>
      </c>
      <c r="B342" s="49" t="s">
        <v>878</v>
      </c>
      <c r="C342" s="49" t="s">
        <v>1707</v>
      </c>
      <c r="D342" s="106" t="s">
        <v>2256</v>
      </c>
    </row>
    <row r="343" spans="1:4" x14ac:dyDescent="0.25">
      <c r="A343" s="257" t="s">
        <v>100</v>
      </c>
      <c r="B343" s="49" t="s">
        <v>879</v>
      </c>
      <c r="C343" s="105" t="s">
        <v>1655</v>
      </c>
      <c r="D343" s="106" t="s">
        <v>2257</v>
      </c>
    </row>
    <row r="344" spans="1:4" ht="80.5" x14ac:dyDescent="0.25">
      <c r="A344" s="257" t="s">
        <v>880</v>
      </c>
      <c r="B344" s="49" t="s">
        <v>881</v>
      </c>
      <c r="C344" s="49" t="s">
        <v>2422</v>
      </c>
      <c r="D344" s="106" t="s">
        <v>2258</v>
      </c>
    </row>
    <row r="345" spans="1:4" ht="23" x14ac:dyDescent="0.25">
      <c r="A345" s="257" t="s">
        <v>271</v>
      </c>
      <c r="B345" s="49" t="s">
        <v>882</v>
      </c>
      <c r="C345" s="49" t="s">
        <v>2556</v>
      </c>
      <c r="D345" s="106" t="s">
        <v>2259</v>
      </c>
    </row>
    <row r="346" spans="1:4" ht="34.5" x14ac:dyDescent="0.25">
      <c r="A346" s="257" t="s">
        <v>272</v>
      </c>
      <c r="B346" s="49" t="s">
        <v>883</v>
      </c>
      <c r="C346" s="49" t="s">
        <v>1709</v>
      </c>
      <c r="D346" s="106" t="s">
        <v>2260</v>
      </c>
    </row>
    <row r="347" spans="1:4" ht="23" x14ac:dyDescent="0.25">
      <c r="A347" s="257" t="s">
        <v>273</v>
      </c>
      <c r="B347" s="49" t="s">
        <v>884</v>
      </c>
      <c r="C347" s="49" t="s">
        <v>1708</v>
      </c>
      <c r="D347" s="106" t="s">
        <v>2261</v>
      </c>
    </row>
    <row r="348" spans="1:4" ht="34.5" x14ac:dyDescent="0.25">
      <c r="A348" s="257" t="s">
        <v>274</v>
      </c>
      <c r="B348" s="49" t="s">
        <v>885</v>
      </c>
      <c r="C348" s="49" t="s">
        <v>2585</v>
      </c>
      <c r="D348" s="106" t="s">
        <v>2262</v>
      </c>
    </row>
    <row r="349" spans="1:4" ht="23" x14ac:dyDescent="0.25">
      <c r="A349" s="257" t="s">
        <v>275</v>
      </c>
      <c r="B349" s="49" t="s">
        <v>886</v>
      </c>
      <c r="C349" s="49" t="s">
        <v>1662</v>
      </c>
      <c r="D349" s="106" t="s">
        <v>2263</v>
      </c>
    </row>
    <row r="350" spans="1:4" ht="23" x14ac:dyDescent="0.25">
      <c r="A350" s="257" t="s">
        <v>276</v>
      </c>
      <c r="B350" s="49" t="s">
        <v>887</v>
      </c>
      <c r="C350" s="49" t="s">
        <v>1753</v>
      </c>
      <c r="D350" s="106" t="s">
        <v>2264</v>
      </c>
    </row>
    <row r="351" spans="1:4" ht="34.5" x14ac:dyDescent="0.25">
      <c r="A351" s="257" t="s">
        <v>277</v>
      </c>
      <c r="B351" s="49" t="s">
        <v>888</v>
      </c>
      <c r="C351" s="49" t="s">
        <v>1710</v>
      </c>
      <c r="D351" s="106" t="s">
        <v>2265</v>
      </c>
    </row>
    <row r="352" spans="1:4" ht="34.5" x14ac:dyDescent="0.25">
      <c r="A352" s="257" t="s">
        <v>278</v>
      </c>
      <c r="B352" s="49" t="s">
        <v>889</v>
      </c>
      <c r="C352" s="49" t="s">
        <v>1711</v>
      </c>
      <c r="D352" s="106" t="s">
        <v>2266</v>
      </c>
    </row>
    <row r="353" spans="1:4" ht="34.5" x14ac:dyDescent="0.25">
      <c r="A353" s="257" t="s">
        <v>279</v>
      </c>
      <c r="B353" s="49" t="s">
        <v>890</v>
      </c>
      <c r="C353" s="49" t="s">
        <v>2423</v>
      </c>
      <c r="D353" s="106" t="s">
        <v>2076</v>
      </c>
    </row>
    <row r="354" spans="1:4" ht="23" x14ac:dyDescent="0.25">
      <c r="A354" s="257" t="s">
        <v>281</v>
      </c>
      <c r="B354" s="49" t="s">
        <v>891</v>
      </c>
      <c r="C354" s="49" t="s">
        <v>2424</v>
      </c>
      <c r="D354" s="106" t="s">
        <v>2267</v>
      </c>
    </row>
    <row r="355" spans="1:4" x14ac:dyDescent="0.25">
      <c r="A355" s="257" t="s">
        <v>102</v>
      </c>
      <c r="B355" s="49" t="s">
        <v>481</v>
      </c>
      <c r="C355" s="105" t="s">
        <v>1758</v>
      </c>
      <c r="D355" s="106" t="s">
        <v>1872</v>
      </c>
    </row>
    <row r="356" spans="1:4" ht="69" x14ac:dyDescent="0.25">
      <c r="A356" s="257" t="s">
        <v>892</v>
      </c>
      <c r="B356" s="49" t="s">
        <v>483</v>
      </c>
      <c r="C356" s="49" t="s">
        <v>2565</v>
      </c>
      <c r="D356" s="106" t="s">
        <v>1873</v>
      </c>
    </row>
    <row r="357" spans="1:4" ht="23" x14ac:dyDescent="0.25">
      <c r="A357" s="257" t="s">
        <v>283</v>
      </c>
      <c r="B357" s="49" t="s">
        <v>893</v>
      </c>
      <c r="C357" s="49" t="s">
        <v>1785</v>
      </c>
      <c r="D357" s="106" t="s">
        <v>2077</v>
      </c>
    </row>
    <row r="358" spans="1:4" ht="23" x14ac:dyDescent="0.25">
      <c r="A358" s="257" t="s">
        <v>284</v>
      </c>
      <c r="B358" s="49" t="s">
        <v>894</v>
      </c>
      <c r="C358" s="49" t="s">
        <v>1786</v>
      </c>
      <c r="D358" s="106" t="s">
        <v>2078</v>
      </c>
    </row>
    <row r="359" spans="1:4" ht="23" x14ac:dyDescent="0.25">
      <c r="A359" s="257" t="s">
        <v>285</v>
      </c>
      <c r="B359" s="49" t="s">
        <v>895</v>
      </c>
      <c r="C359" s="49" t="s">
        <v>1787</v>
      </c>
      <c r="D359" s="106" t="s">
        <v>2079</v>
      </c>
    </row>
    <row r="360" spans="1:4" ht="23" x14ac:dyDescent="0.25">
      <c r="A360" s="257" t="s">
        <v>286</v>
      </c>
      <c r="B360" s="49" t="s">
        <v>896</v>
      </c>
      <c r="C360" s="49" t="s">
        <v>2328</v>
      </c>
      <c r="D360" s="106" t="s">
        <v>2080</v>
      </c>
    </row>
    <row r="361" spans="1:4" ht="34.5" x14ac:dyDescent="0.25">
      <c r="A361" s="257" t="s">
        <v>287</v>
      </c>
      <c r="B361" s="49" t="s">
        <v>897</v>
      </c>
      <c r="C361" s="49" t="s">
        <v>2338</v>
      </c>
      <c r="D361" s="106" t="s">
        <v>2081</v>
      </c>
    </row>
    <row r="362" spans="1:4" ht="23" x14ac:dyDescent="0.25">
      <c r="A362" s="257" t="s">
        <v>288</v>
      </c>
      <c r="B362" s="49" t="s">
        <v>898</v>
      </c>
      <c r="C362" s="49" t="s">
        <v>1788</v>
      </c>
      <c r="D362" s="106" t="s">
        <v>2082</v>
      </c>
    </row>
    <row r="363" spans="1:4" ht="23" x14ac:dyDescent="0.25">
      <c r="A363" s="257" t="s">
        <v>289</v>
      </c>
      <c r="B363" s="49" t="s">
        <v>899</v>
      </c>
      <c r="C363" s="49" t="s">
        <v>2348</v>
      </c>
      <c r="D363" s="106" t="s">
        <v>2083</v>
      </c>
    </row>
    <row r="364" spans="1:4" x14ac:dyDescent="0.25">
      <c r="A364" s="257" t="s">
        <v>0</v>
      </c>
      <c r="B364" s="105" t="s">
        <v>457</v>
      </c>
      <c r="C364" s="105" t="s">
        <v>1</v>
      </c>
      <c r="D364" s="106" t="s">
        <v>2084</v>
      </c>
    </row>
    <row r="365" spans="1:4" ht="69" x14ac:dyDescent="0.25">
      <c r="A365" s="257" t="s">
        <v>458</v>
      </c>
      <c r="B365" s="49" t="s">
        <v>459</v>
      </c>
      <c r="C365" s="49" t="s">
        <v>2586</v>
      </c>
      <c r="D365" s="106" t="s">
        <v>2085</v>
      </c>
    </row>
    <row r="366" spans="1:4" s="53" customFormat="1" x14ac:dyDescent="0.25">
      <c r="A366" s="257" t="s">
        <v>43</v>
      </c>
      <c r="B366" s="105" t="s">
        <v>460</v>
      </c>
      <c r="C366" s="105" t="s">
        <v>3</v>
      </c>
      <c r="D366" s="106" t="s">
        <v>2086</v>
      </c>
    </row>
    <row r="367" spans="1:4" ht="149.5" x14ac:dyDescent="0.25">
      <c r="A367" s="257" t="s">
        <v>461</v>
      </c>
      <c r="B367" s="49" t="s">
        <v>462</v>
      </c>
      <c r="C367" s="49" t="s">
        <v>2355</v>
      </c>
      <c r="D367" s="106" t="s">
        <v>2087</v>
      </c>
    </row>
    <row r="368" spans="1:4" ht="23" x14ac:dyDescent="0.25">
      <c r="A368" s="257" t="s">
        <v>44</v>
      </c>
      <c r="B368" s="49" t="s">
        <v>463</v>
      </c>
      <c r="C368" s="49" t="s">
        <v>2557</v>
      </c>
      <c r="D368" s="106" t="s">
        <v>2088</v>
      </c>
    </row>
    <row r="369" spans="1:4" ht="34.5" x14ac:dyDescent="0.25">
      <c r="A369" s="257" t="s">
        <v>45</v>
      </c>
      <c r="B369" s="49" t="s">
        <v>464</v>
      </c>
      <c r="C369" s="49" t="s">
        <v>2354</v>
      </c>
      <c r="D369" s="106" t="s">
        <v>2089</v>
      </c>
    </row>
    <row r="370" spans="1:4" ht="46" x14ac:dyDescent="0.25">
      <c r="A370" s="257" t="s">
        <v>46</v>
      </c>
      <c r="B370" s="49" t="s">
        <v>465</v>
      </c>
      <c r="C370" s="49" t="s">
        <v>2587</v>
      </c>
      <c r="D370" s="106" t="s">
        <v>2090</v>
      </c>
    </row>
    <row r="371" spans="1:4" ht="23" x14ac:dyDescent="0.25">
      <c r="A371" s="257" t="s">
        <v>48</v>
      </c>
      <c r="B371" s="49" t="s">
        <v>466</v>
      </c>
      <c r="C371" s="49" t="s">
        <v>2353</v>
      </c>
      <c r="D371" s="106" t="s">
        <v>2091</v>
      </c>
    </row>
    <row r="372" spans="1:4" ht="23" x14ac:dyDescent="0.25">
      <c r="A372" s="257" t="s">
        <v>50</v>
      </c>
      <c r="B372" s="49" t="s">
        <v>467</v>
      </c>
      <c r="C372" s="49" t="s">
        <v>2314</v>
      </c>
      <c r="D372" s="106" t="s">
        <v>2092</v>
      </c>
    </row>
    <row r="373" spans="1:4" ht="34.5" x14ac:dyDescent="0.25">
      <c r="A373" s="257" t="s">
        <v>52</v>
      </c>
      <c r="B373" s="49" t="s">
        <v>468</v>
      </c>
      <c r="C373" s="49" t="s">
        <v>2315</v>
      </c>
      <c r="D373" s="106" t="s">
        <v>2093</v>
      </c>
    </row>
    <row r="374" spans="1:4" ht="23" x14ac:dyDescent="0.25">
      <c r="A374" s="257" t="s">
        <v>54</v>
      </c>
      <c r="B374" s="49" t="s">
        <v>469</v>
      </c>
      <c r="C374" s="49" t="s">
        <v>2316</v>
      </c>
      <c r="D374" s="106" t="s">
        <v>2094</v>
      </c>
    </row>
    <row r="375" spans="1:4" ht="34.5" x14ac:dyDescent="0.25">
      <c r="A375" s="257" t="s">
        <v>56</v>
      </c>
      <c r="B375" s="49" t="s">
        <v>470</v>
      </c>
      <c r="C375" s="49" t="s">
        <v>2317</v>
      </c>
      <c r="D375" s="106" t="s">
        <v>2095</v>
      </c>
    </row>
    <row r="376" spans="1:4" ht="23" x14ac:dyDescent="0.25">
      <c r="A376" s="257" t="s">
        <v>58</v>
      </c>
      <c r="B376" s="49" t="s">
        <v>471</v>
      </c>
      <c r="C376" s="49" t="s">
        <v>2318</v>
      </c>
      <c r="D376" s="106" t="s">
        <v>2096</v>
      </c>
    </row>
    <row r="377" spans="1:4" ht="23" x14ac:dyDescent="0.25">
      <c r="A377" s="257" t="s">
        <v>61</v>
      </c>
      <c r="B377" s="49" t="s">
        <v>472</v>
      </c>
      <c r="C377" s="49" t="s">
        <v>2319</v>
      </c>
      <c r="D377" s="106" t="s">
        <v>2097</v>
      </c>
    </row>
    <row r="378" spans="1:4" x14ac:dyDescent="0.25">
      <c r="A378" s="257" t="s">
        <v>47</v>
      </c>
      <c r="B378" s="105" t="s">
        <v>473</v>
      </c>
      <c r="C378" s="105" t="s">
        <v>2320</v>
      </c>
      <c r="D378" s="106" t="s">
        <v>2098</v>
      </c>
    </row>
    <row r="379" spans="1:4" ht="126.5" x14ac:dyDescent="0.25">
      <c r="A379" s="257" t="s">
        <v>474</v>
      </c>
      <c r="B379" s="49" t="s">
        <v>475</v>
      </c>
      <c r="C379" s="49" t="s">
        <v>2356</v>
      </c>
      <c r="D379" s="106" t="s">
        <v>2099</v>
      </c>
    </row>
    <row r="380" spans="1:4" ht="23" x14ac:dyDescent="0.25">
      <c r="A380" s="257" t="s">
        <v>63</v>
      </c>
      <c r="B380" s="49" t="s">
        <v>476</v>
      </c>
      <c r="C380" s="49" t="s">
        <v>2321</v>
      </c>
      <c r="D380" s="106" t="s">
        <v>2100</v>
      </c>
    </row>
    <row r="381" spans="1:4" ht="46" x14ac:dyDescent="0.25">
      <c r="A381" s="257" t="s">
        <v>65</v>
      </c>
      <c r="B381" s="49" t="s">
        <v>477</v>
      </c>
      <c r="C381" s="49" t="s">
        <v>2357</v>
      </c>
      <c r="D381" s="106" t="s">
        <v>2101</v>
      </c>
    </row>
    <row r="382" spans="1:4" ht="23" x14ac:dyDescent="0.25">
      <c r="A382" s="257" t="s">
        <v>67</v>
      </c>
      <c r="B382" s="49" t="s">
        <v>478</v>
      </c>
      <c r="C382" s="49" t="s">
        <v>2358</v>
      </c>
      <c r="D382" s="106" t="s">
        <v>2102</v>
      </c>
    </row>
    <row r="383" spans="1:4" ht="23" x14ac:dyDescent="0.25">
      <c r="A383" s="257" t="s">
        <v>70</v>
      </c>
      <c r="B383" s="49" t="s">
        <v>479</v>
      </c>
      <c r="C383" s="49" t="s">
        <v>2322</v>
      </c>
      <c r="D383" s="106" t="s">
        <v>2103</v>
      </c>
    </row>
    <row r="384" spans="1:4" ht="46" x14ac:dyDescent="0.25">
      <c r="A384" s="257" t="s">
        <v>73</v>
      </c>
      <c r="B384" s="49" t="s">
        <v>480</v>
      </c>
      <c r="C384" s="49" t="s">
        <v>2359</v>
      </c>
      <c r="D384" s="106" t="s">
        <v>2104</v>
      </c>
    </row>
    <row r="385" spans="1:4" x14ac:dyDescent="0.25">
      <c r="A385" s="257" t="s">
        <v>49</v>
      </c>
      <c r="B385" s="105" t="s">
        <v>481</v>
      </c>
      <c r="C385" s="105" t="s">
        <v>1758</v>
      </c>
      <c r="D385" s="106" t="s">
        <v>1872</v>
      </c>
    </row>
    <row r="386" spans="1:4" ht="69" x14ac:dyDescent="0.25">
      <c r="A386" s="257" t="s">
        <v>482</v>
      </c>
      <c r="B386" s="49" t="s">
        <v>483</v>
      </c>
      <c r="C386" s="49" t="s">
        <v>2565</v>
      </c>
      <c r="D386" s="106" t="s">
        <v>1873</v>
      </c>
    </row>
    <row r="387" spans="1:4" ht="23" x14ac:dyDescent="0.25">
      <c r="A387" s="257" t="s">
        <v>75</v>
      </c>
      <c r="B387" s="49" t="s">
        <v>484</v>
      </c>
      <c r="C387" s="49" t="s">
        <v>1789</v>
      </c>
      <c r="D387" s="106" t="s">
        <v>2105</v>
      </c>
    </row>
    <row r="388" spans="1:4" ht="23" x14ac:dyDescent="0.25">
      <c r="A388" s="257" t="s">
        <v>78</v>
      </c>
      <c r="B388" s="49" t="s">
        <v>485</v>
      </c>
      <c r="C388" s="49" t="s">
        <v>1790</v>
      </c>
      <c r="D388" s="106" t="s">
        <v>2106</v>
      </c>
    </row>
    <row r="389" spans="1:4" ht="23" x14ac:dyDescent="0.25">
      <c r="A389" s="257" t="s">
        <v>81</v>
      </c>
      <c r="B389" s="49" t="s">
        <v>486</v>
      </c>
      <c r="C389" s="49" t="s">
        <v>1791</v>
      </c>
      <c r="D389" s="106" t="s">
        <v>2107</v>
      </c>
    </row>
    <row r="390" spans="1:4" ht="23" x14ac:dyDescent="0.25">
      <c r="A390" s="257" t="s">
        <v>84</v>
      </c>
      <c r="B390" s="49" t="s">
        <v>487</v>
      </c>
      <c r="C390" s="49" t="s">
        <v>2329</v>
      </c>
      <c r="D390" s="106" t="s">
        <v>2108</v>
      </c>
    </row>
    <row r="391" spans="1:4" ht="34.5" x14ac:dyDescent="0.25">
      <c r="A391" s="257" t="s">
        <v>86</v>
      </c>
      <c r="B391" s="49" t="s">
        <v>488</v>
      </c>
      <c r="C391" s="49" t="s">
        <v>2339</v>
      </c>
      <c r="D391" s="106" t="s">
        <v>2109</v>
      </c>
    </row>
    <row r="392" spans="1:4" ht="23" x14ac:dyDescent="0.25">
      <c r="A392" s="257" t="s">
        <v>88</v>
      </c>
      <c r="B392" s="49" t="s">
        <v>489</v>
      </c>
      <c r="C392" s="49" t="s">
        <v>1792</v>
      </c>
      <c r="D392" s="106" t="s">
        <v>2110</v>
      </c>
    </row>
    <row r="393" spans="1:4" ht="23" x14ac:dyDescent="0.25">
      <c r="A393" s="257" t="s">
        <v>90</v>
      </c>
      <c r="B393" s="49" t="s">
        <v>490</v>
      </c>
      <c r="C393" s="49" t="s">
        <v>2349</v>
      </c>
      <c r="D393" s="106" t="s">
        <v>2111</v>
      </c>
    </row>
    <row r="394" spans="1:4" x14ac:dyDescent="0.25">
      <c r="A394" s="257" t="s">
        <v>72</v>
      </c>
      <c r="B394" s="49" t="s">
        <v>809</v>
      </c>
      <c r="C394" s="105" t="s">
        <v>810</v>
      </c>
      <c r="D394" s="106" t="s">
        <v>2112</v>
      </c>
    </row>
    <row r="395" spans="1:4" ht="69" x14ac:dyDescent="0.25">
      <c r="A395" s="257" t="s">
        <v>811</v>
      </c>
      <c r="B395" s="49" t="s">
        <v>812</v>
      </c>
      <c r="C395" s="49" t="s">
        <v>2405</v>
      </c>
      <c r="D395" s="106" t="s">
        <v>2113</v>
      </c>
    </row>
    <row r="396" spans="1:4" s="53" customFormat="1" x14ac:dyDescent="0.25">
      <c r="A396" s="257" t="s">
        <v>87</v>
      </c>
      <c r="B396" s="49" t="s">
        <v>813</v>
      </c>
      <c r="C396" s="105" t="s">
        <v>1656</v>
      </c>
      <c r="D396" s="106" t="s">
        <v>2114</v>
      </c>
    </row>
    <row r="397" spans="1:4" ht="46" x14ac:dyDescent="0.25">
      <c r="A397" s="257" t="s">
        <v>814</v>
      </c>
      <c r="B397" s="49" t="s">
        <v>815</v>
      </c>
      <c r="C397" s="49" t="s">
        <v>2406</v>
      </c>
      <c r="D397" s="106" t="s">
        <v>2115</v>
      </c>
    </row>
    <row r="398" spans="1:4" ht="23" x14ac:dyDescent="0.25">
      <c r="A398" s="257" t="s">
        <v>225</v>
      </c>
      <c r="B398" s="49" t="s">
        <v>816</v>
      </c>
      <c r="C398" s="49" t="s">
        <v>1747</v>
      </c>
      <c r="D398" s="106" t="s">
        <v>2116</v>
      </c>
    </row>
    <row r="399" spans="1:4" ht="23" x14ac:dyDescent="0.25">
      <c r="A399" s="257" t="s">
        <v>226</v>
      </c>
      <c r="B399" s="49" t="s">
        <v>817</v>
      </c>
      <c r="C399" s="49" t="s">
        <v>1748</v>
      </c>
      <c r="D399" s="106" t="s">
        <v>2117</v>
      </c>
    </row>
    <row r="400" spans="1:4" x14ac:dyDescent="0.25">
      <c r="A400" s="257" t="s">
        <v>227</v>
      </c>
      <c r="B400" s="49" t="s">
        <v>818</v>
      </c>
      <c r="C400" s="49" t="s">
        <v>819</v>
      </c>
      <c r="D400" s="106" t="s">
        <v>2118</v>
      </c>
    </row>
    <row r="401" spans="1:4" ht="23" x14ac:dyDescent="0.25">
      <c r="A401" s="257" t="s">
        <v>228</v>
      </c>
      <c r="B401" s="49" t="s">
        <v>820</v>
      </c>
      <c r="C401" s="49" t="s">
        <v>821</v>
      </c>
      <c r="D401" s="106" t="s">
        <v>2119</v>
      </c>
    </row>
    <row r="402" spans="1:4" x14ac:dyDescent="0.25">
      <c r="A402" s="257" t="s">
        <v>89</v>
      </c>
      <c r="B402" s="49" t="s">
        <v>822</v>
      </c>
      <c r="C402" s="105" t="s">
        <v>1657</v>
      </c>
      <c r="D402" s="106" t="s">
        <v>2120</v>
      </c>
    </row>
    <row r="403" spans="1:4" ht="34.5" x14ac:dyDescent="0.25">
      <c r="A403" s="257" t="s">
        <v>823</v>
      </c>
      <c r="B403" s="49" t="s">
        <v>824</v>
      </c>
      <c r="C403" s="49" t="s">
        <v>2407</v>
      </c>
      <c r="D403" s="106" t="s">
        <v>2121</v>
      </c>
    </row>
    <row r="404" spans="1:4" ht="23" x14ac:dyDescent="0.25">
      <c r="A404" s="257" t="s">
        <v>229</v>
      </c>
      <c r="B404" s="49" t="s">
        <v>825</v>
      </c>
      <c r="C404" s="49" t="s">
        <v>2588</v>
      </c>
      <c r="D404" s="106" t="s">
        <v>2122</v>
      </c>
    </row>
    <row r="405" spans="1:4" ht="34.5" x14ac:dyDescent="0.25">
      <c r="A405" s="257" t="s">
        <v>230</v>
      </c>
      <c r="B405" s="49" t="s">
        <v>826</v>
      </c>
      <c r="C405" s="49" t="s">
        <v>2408</v>
      </c>
      <c r="D405" s="106" t="s">
        <v>2268</v>
      </c>
    </row>
    <row r="406" spans="1:4" ht="23" x14ac:dyDescent="0.25">
      <c r="A406" s="257" t="s">
        <v>231</v>
      </c>
      <c r="B406" s="49" t="s">
        <v>827</v>
      </c>
      <c r="C406" s="49" t="s">
        <v>1712</v>
      </c>
      <c r="D406" s="106" t="s">
        <v>2123</v>
      </c>
    </row>
    <row r="407" spans="1:4" s="53" customFormat="1" ht="46" x14ac:dyDescent="0.25">
      <c r="A407" s="257" t="s">
        <v>232</v>
      </c>
      <c r="B407" s="49" t="s">
        <v>828</v>
      </c>
      <c r="C407" s="49" t="s">
        <v>2409</v>
      </c>
      <c r="D407" s="106" t="s">
        <v>2269</v>
      </c>
    </row>
    <row r="408" spans="1:4" ht="23" x14ac:dyDescent="0.25">
      <c r="A408" s="257" t="s">
        <v>233</v>
      </c>
      <c r="B408" s="49" t="s">
        <v>829</v>
      </c>
      <c r="C408" s="49" t="s">
        <v>1713</v>
      </c>
      <c r="D408" s="106" t="s">
        <v>2270</v>
      </c>
    </row>
    <row r="409" spans="1:4" x14ac:dyDescent="0.25">
      <c r="A409" s="257" t="s">
        <v>234</v>
      </c>
      <c r="B409" s="49" t="s">
        <v>830</v>
      </c>
      <c r="C409" s="49" t="s">
        <v>2410</v>
      </c>
      <c r="D409" s="106" t="s">
        <v>2124</v>
      </c>
    </row>
    <row r="410" spans="1:4" ht="23" x14ac:dyDescent="0.25">
      <c r="A410" s="257" t="s">
        <v>235</v>
      </c>
      <c r="B410" s="49" t="s">
        <v>831</v>
      </c>
      <c r="C410" s="49" t="s">
        <v>2411</v>
      </c>
      <c r="D410" s="106" t="s">
        <v>2125</v>
      </c>
    </row>
    <row r="411" spans="1:4" ht="23" x14ac:dyDescent="0.25">
      <c r="A411" s="257" t="s">
        <v>236</v>
      </c>
      <c r="B411" s="49" t="s">
        <v>832</v>
      </c>
      <c r="C411" s="49" t="s">
        <v>2589</v>
      </c>
      <c r="D411" s="106" t="s">
        <v>2126</v>
      </c>
    </row>
    <row r="412" spans="1:4" ht="23" x14ac:dyDescent="0.25">
      <c r="A412" s="257" t="s">
        <v>237</v>
      </c>
      <c r="B412" s="49" t="s">
        <v>833</v>
      </c>
      <c r="C412" s="49" t="s">
        <v>1715</v>
      </c>
      <c r="D412" s="106" t="s">
        <v>2127</v>
      </c>
    </row>
    <row r="413" spans="1:4" ht="23" x14ac:dyDescent="0.25">
      <c r="A413" s="257" t="s">
        <v>238</v>
      </c>
      <c r="B413" s="49" t="s">
        <v>834</v>
      </c>
      <c r="C413" s="49" t="s">
        <v>1714</v>
      </c>
      <c r="D413" s="106" t="s">
        <v>2128</v>
      </c>
    </row>
    <row r="414" spans="1:4" x14ac:dyDescent="0.25">
      <c r="A414" s="257" t="s">
        <v>91</v>
      </c>
      <c r="B414" s="49" t="s">
        <v>835</v>
      </c>
      <c r="C414" s="105" t="s">
        <v>2412</v>
      </c>
      <c r="D414" s="106" t="s">
        <v>2129</v>
      </c>
    </row>
    <row r="415" spans="1:4" ht="69" x14ac:dyDescent="0.25">
      <c r="A415" s="257" t="s">
        <v>836</v>
      </c>
      <c r="B415" s="49" t="s">
        <v>837</v>
      </c>
      <c r="C415" s="49" t="s">
        <v>1620</v>
      </c>
      <c r="D415" s="106" t="s">
        <v>2130</v>
      </c>
    </row>
    <row r="416" spans="1:4" ht="23" x14ac:dyDescent="0.25">
      <c r="A416" s="257" t="s">
        <v>239</v>
      </c>
      <c r="B416" s="49" t="s">
        <v>838</v>
      </c>
      <c r="C416" s="49" t="s">
        <v>1716</v>
      </c>
      <c r="D416" s="106" t="s">
        <v>2131</v>
      </c>
    </row>
    <row r="417" spans="1:4" ht="23" x14ac:dyDescent="0.25">
      <c r="A417" s="257" t="s">
        <v>240</v>
      </c>
      <c r="B417" s="49" t="s">
        <v>839</v>
      </c>
      <c r="C417" s="49" t="s">
        <v>1720</v>
      </c>
      <c r="D417" s="106" t="s">
        <v>2132</v>
      </c>
    </row>
    <row r="418" spans="1:4" ht="23" x14ac:dyDescent="0.25">
      <c r="A418" s="257" t="s">
        <v>241</v>
      </c>
      <c r="B418" s="49" t="s">
        <v>840</v>
      </c>
      <c r="C418" s="49" t="s">
        <v>1719</v>
      </c>
      <c r="D418" s="106" t="s">
        <v>2133</v>
      </c>
    </row>
    <row r="419" spans="1:4" ht="57.5" x14ac:dyDescent="0.25">
      <c r="A419" s="257" t="s">
        <v>242</v>
      </c>
      <c r="B419" s="49" t="s">
        <v>841</v>
      </c>
      <c r="C419" s="49" t="s">
        <v>1756</v>
      </c>
      <c r="D419" s="106" t="s">
        <v>2134</v>
      </c>
    </row>
    <row r="420" spans="1:4" ht="34.5" x14ac:dyDescent="0.25">
      <c r="A420" s="257" t="s">
        <v>243</v>
      </c>
      <c r="B420" s="49" t="s">
        <v>842</v>
      </c>
      <c r="C420" s="49" t="s">
        <v>1717</v>
      </c>
      <c r="D420" s="106" t="s">
        <v>2135</v>
      </c>
    </row>
    <row r="421" spans="1:4" ht="23" x14ac:dyDescent="0.25">
      <c r="A421" s="257" t="s">
        <v>244</v>
      </c>
      <c r="B421" s="49" t="s">
        <v>843</v>
      </c>
      <c r="C421" s="49" t="s">
        <v>1718</v>
      </c>
      <c r="D421" s="106" t="s">
        <v>2136</v>
      </c>
    </row>
    <row r="422" spans="1:4" ht="34.5" x14ac:dyDescent="0.25">
      <c r="A422" s="257" t="s">
        <v>245</v>
      </c>
      <c r="B422" s="49" t="s">
        <v>844</v>
      </c>
      <c r="C422" s="49" t="s">
        <v>1621</v>
      </c>
      <c r="D422" s="106" t="s">
        <v>2137</v>
      </c>
    </row>
    <row r="423" spans="1:4" ht="34.5" x14ac:dyDescent="0.25">
      <c r="A423" s="257" t="s">
        <v>246</v>
      </c>
      <c r="B423" s="49" t="s">
        <v>845</v>
      </c>
      <c r="C423" s="49" t="s">
        <v>2413</v>
      </c>
      <c r="D423" s="106" t="s">
        <v>2138</v>
      </c>
    </row>
    <row r="424" spans="1:4" x14ac:dyDescent="0.25">
      <c r="A424" s="257" t="s">
        <v>93</v>
      </c>
      <c r="B424" s="49" t="s">
        <v>481</v>
      </c>
      <c r="C424" s="105" t="s">
        <v>1758</v>
      </c>
      <c r="D424" s="106" t="s">
        <v>1872</v>
      </c>
    </row>
    <row r="425" spans="1:4" ht="69" x14ac:dyDescent="0.25">
      <c r="A425" s="257" t="s">
        <v>846</v>
      </c>
      <c r="B425" s="49" t="s">
        <v>483</v>
      </c>
      <c r="C425" s="49" t="s">
        <v>2565</v>
      </c>
      <c r="D425" s="106" t="s">
        <v>1873</v>
      </c>
    </row>
    <row r="426" spans="1:4" ht="23" x14ac:dyDescent="0.25">
      <c r="A426" s="257" t="s">
        <v>248</v>
      </c>
      <c r="B426" s="49" t="s">
        <v>847</v>
      </c>
      <c r="C426" s="49" t="s">
        <v>1793</v>
      </c>
      <c r="D426" s="106" t="s">
        <v>2139</v>
      </c>
    </row>
    <row r="427" spans="1:4" ht="23" x14ac:dyDescent="0.25">
      <c r="A427" s="257" t="s">
        <v>249</v>
      </c>
      <c r="B427" s="49" t="s">
        <v>848</v>
      </c>
      <c r="C427" s="49" t="s">
        <v>1794</v>
      </c>
      <c r="D427" s="106" t="s">
        <v>2140</v>
      </c>
    </row>
    <row r="428" spans="1:4" ht="23" x14ac:dyDescent="0.25">
      <c r="A428" s="257" t="s">
        <v>250</v>
      </c>
      <c r="B428" s="49" t="s">
        <v>849</v>
      </c>
      <c r="C428" s="49" t="s">
        <v>1795</v>
      </c>
      <c r="D428" s="106" t="s">
        <v>2141</v>
      </c>
    </row>
    <row r="429" spans="1:4" ht="23" x14ac:dyDescent="0.25">
      <c r="A429" s="257" t="s">
        <v>251</v>
      </c>
      <c r="B429" s="49" t="s">
        <v>850</v>
      </c>
      <c r="C429" s="49" t="s">
        <v>2330</v>
      </c>
      <c r="D429" s="106" t="s">
        <v>2142</v>
      </c>
    </row>
    <row r="430" spans="1:4" ht="34.5" x14ac:dyDescent="0.25">
      <c r="A430" s="257" t="s">
        <v>252</v>
      </c>
      <c r="B430" s="49" t="s">
        <v>851</v>
      </c>
      <c r="C430" s="49" t="s">
        <v>2340</v>
      </c>
      <c r="D430" s="106" t="s">
        <v>2143</v>
      </c>
    </row>
    <row r="431" spans="1:4" ht="23" x14ac:dyDescent="0.25">
      <c r="A431" s="257" t="s">
        <v>253</v>
      </c>
      <c r="B431" s="49" t="s">
        <v>852</v>
      </c>
      <c r="C431" s="49" t="s">
        <v>1796</v>
      </c>
      <c r="D431" s="106" t="s">
        <v>2144</v>
      </c>
    </row>
    <row r="432" spans="1:4" ht="23" x14ac:dyDescent="0.25">
      <c r="A432" s="257" t="s">
        <v>254</v>
      </c>
      <c r="B432" s="49" t="s">
        <v>853</v>
      </c>
      <c r="C432" s="49" t="s">
        <v>2350</v>
      </c>
      <c r="D432" s="106" t="s">
        <v>2145</v>
      </c>
    </row>
    <row r="433" spans="1:4" x14ac:dyDescent="0.25">
      <c r="A433" s="257" t="s">
        <v>69</v>
      </c>
      <c r="B433" s="49" t="s">
        <v>764</v>
      </c>
      <c r="C433" s="105" t="s">
        <v>765</v>
      </c>
      <c r="D433" s="106" t="s">
        <v>2146</v>
      </c>
    </row>
    <row r="434" spans="1:4" ht="69" x14ac:dyDescent="0.25">
      <c r="A434" s="257" t="s">
        <v>766</v>
      </c>
      <c r="B434" s="49" t="s">
        <v>767</v>
      </c>
      <c r="C434" s="49" t="s">
        <v>2397</v>
      </c>
      <c r="D434" s="106" t="s">
        <v>2147</v>
      </c>
    </row>
    <row r="435" spans="1:4" s="53" customFormat="1" x14ac:dyDescent="0.25">
      <c r="A435" s="257" t="s">
        <v>76</v>
      </c>
      <c r="B435" s="49" t="s">
        <v>768</v>
      </c>
      <c r="C435" s="105" t="s">
        <v>769</v>
      </c>
      <c r="D435" s="106" t="s">
        <v>2148</v>
      </c>
    </row>
    <row r="436" spans="1:4" ht="92" x14ac:dyDescent="0.25">
      <c r="A436" s="257" t="s">
        <v>770</v>
      </c>
      <c r="B436" s="49" t="s">
        <v>771</v>
      </c>
      <c r="C436" s="49" t="s">
        <v>2398</v>
      </c>
      <c r="D436" s="106" t="s">
        <v>2149</v>
      </c>
    </row>
    <row r="437" spans="1:4" ht="34.5" x14ac:dyDescent="0.25">
      <c r="A437" s="257" t="s">
        <v>186</v>
      </c>
      <c r="B437" s="49" t="s">
        <v>772</v>
      </c>
      <c r="C437" s="49" t="s">
        <v>2399</v>
      </c>
      <c r="D437" s="106" t="s">
        <v>2150</v>
      </c>
    </row>
    <row r="438" spans="1:4" ht="23" x14ac:dyDescent="0.25">
      <c r="A438" s="257" t="s">
        <v>187</v>
      </c>
      <c r="B438" s="49" t="s">
        <v>773</v>
      </c>
      <c r="C438" s="49" t="s">
        <v>1721</v>
      </c>
      <c r="D438" s="106" t="s">
        <v>2151</v>
      </c>
    </row>
    <row r="439" spans="1:4" ht="34.5" x14ac:dyDescent="0.25">
      <c r="A439" s="257" t="s">
        <v>188</v>
      </c>
      <c r="B439" s="49" t="s">
        <v>774</v>
      </c>
      <c r="C439" s="49" t="s">
        <v>1722</v>
      </c>
      <c r="D439" s="106" t="s">
        <v>2152</v>
      </c>
    </row>
    <row r="440" spans="1:4" ht="34.5" x14ac:dyDescent="0.25">
      <c r="A440" s="257" t="s">
        <v>189</v>
      </c>
      <c r="B440" s="49" t="s">
        <v>775</v>
      </c>
      <c r="C440" s="49" t="s">
        <v>2400</v>
      </c>
      <c r="D440" s="106" t="s">
        <v>2153</v>
      </c>
    </row>
    <row r="441" spans="1:4" ht="23" x14ac:dyDescent="0.25">
      <c r="A441" s="257" t="s">
        <v>190</v>
      </c>
      <c r="B441" s="49" t="s">
        <v>776</v>
      </c>
      <c r="C441" s="49" t="s">
        <v>2401</v>
      </c>
      <c r="D441" s="106" t="s">
        <v>2154</v>
      </c>
    </row>
    <row r="442" spans="1:4" x14ac:dyDescent="0.25">
      <c r="A442" s="257" t="s">
        <v>191</v>
      </c>
      <c r="B442" s="49" t="s">
        <v>777</v>
      </c>
      <c r="C442" s="49" t="s">
        <v>1723</v>
      </c>
      <c r="D442" s="106" t="s">
        <v>2155</v>
      </c>
    </row>
    <row r="443" spans="1:4" ht="23" x14ac:dyDescent="0.25">
      <c r="A443" s="257" t="s">
        <v>192</v>
      </c>
      <c r="B443" s="49" t="s">
        <v>778</v>
      </c>
      <c r="C443" s="49" t="s">
        <v>2402</v>
      </c>
      <c r="D443" s="106" t="s">
        <v>2156</v>
      </c>
    </row>
    <row r="444" spans="1:4" x14ac:dyDescent="0.25">
      <c r="A444" s="257" t="s">
        <v>193</v>
      </c>
      <c r="B444" s="49" t="s">
        <v>779</v>
      </c>
      <c r="C444" s="49" t="s">
        <v>780</v>
      </c>
      <c r="D444" s="106" t="s">
        <v>2157</v>
      </c>
    </row>
    <row r="445" spans="1:4" ht="23" x14ac:dyDescent="0.25">
      <c r="A445" s="257" t="s">
        <v>194</v>
      </c>
      <c r="B445" s="49" t="s">
        <v>781</v>
      </c>
      <c r="C445" s="49" t="s">
        <v>1724</v>
      </c>
      <c r="D445" s="106" t="s">
        <v>2158</v>
      </c>
    </row>
    <row r="446" spans="1:4" ht="34.5" x14ac:dyDescent="0.25">
      <c r="A446" s="257" t="s">
        <v>195</v>
      </c>
      <c r="B446" s="49" t="s">
        <v>782</v>
      </c>
      <c r="C446" s="49" t="s">
        <v>1725</v>
      </c>
      <c r="D446" s="106" t="s">
        <v>2159</v>
      </c>
    </row>
    <row r="447" spans="1:4" ht="57.5" x14ac:dyDescent="0.25">
      <c r="A447" s="257" t="s">
        <v>196</v>
      </c>
      <c r="B447" s="49" t="s">
        <v>783</v>
      </c>
      <c r="C447" s="49" t="s">
        <v>1727</v>
      </c>
      <c r="D447" s="106" t="s">
        <v>2160</v>
      </c>
    </row>
    <row r="448" spans="1:4" ht="23" x14ac:dyDescent="0.25">
      <c r="A448" s="257" t="s">
        <v>198</v>
      </c>
      <c r="B448" s="49" t="s">
        <v>784</v>
      </c>
      <c r="C448" s="49" t="s">
        <v>1726</v>
      </c>
      <c r="D448" s="106" t="s">
        <v>2161</v>
      </c>
    </row>
    <row r="449" spans="1:4" x14ac:dyDescent="0.25">
      <c r="A449" s="257" t="s">
        <v>79</v>
      </c>
      <c r="B449" s="49" t="s">
        <v>785</v>
      </c>
      <c r="C449" s="105" t="s">
        <v>1811</v>
      </c>
      <c r="D449" s="106" t="s">
        <v>2162</v>
      </c>
    </row>
    <row r="450" spans="1:4" ht="103.5" x14ac:dyDescent="0.25">
      <c r="A450" s="257" t="s">
        <v>786</v>
      </c>
      <c r="B450" s="49" t="s">
        <v>787</v>
      </c>
      <c r="C450" s="49" t="s">
        <v>2403</v>
      </c>
      <c r="D450" s="106" t="s">
        <v>2163</v>
      </c>
    </row>
    <row r="451" spans="1:4" ht="34.5" x14ac:dyDescent="0.25">
      <c r="A451" s="257" t="s">
        <v>200</v>
      </c>
      <c r="B451" s="49" t="s">
        <v>788</v>
      </c>
      <c r="C451" s="49" t="s">
        <v>1729</v>
      </c>
      <c r="D451" s="106" t="s">
        <v>2164</v>
      </c>
    </row>
    <row r="452" spans="1:4" ht="23" x14ac:dyDescent="0.25">
      <c r="A452" s="257" t="s">
        <v>201</v>
      </c>
      <c r="B452" s="49" t="s">
        <v>789</v>
      </c>
      <c r="C452" s="49" t="s">
        <v>1730</v>
      </c>
      <c r="D452" s="106" t="s">
        <v>2165</v>
      </c>
    </row>
    <row r="453" spans="1:4" ht="34.5" x14ac:dyDescent="0.25">
      <c r="A453" s="257" t="s">
        <v>202</v>
      </c>
      <c r="B453" s="49" t="s">
        <v>790</v>
      </c>
      <c r="C453" s="49" t="s">
        <v>1731</v>
      </c>
      <c r="D453" s="106" t="s">
        <v>2166</v>
      </c>
    </row>
    <row r="454" spans="1:4" ht="34.5" x14ac:dyDescent="0.25">
      <c r="A454" s="257" t="s">
        <v>203</v>
      </c>
      <c r="B454" s="49" t="s">
        <v>791</v>
      </c>
      <c r="C454" s="49" t="s">
        <v>2404</v>
      </c>
      <c r="D454" s="106" t="s">
        <v>2167</v>
      </c>
    </row>
    <row r="455" spans="1:4" ht="23" x14ac:dyDescent="0.25">
      <c r="A455" s="257" t="s">
        <v>204</v>
      </c>
      <c r="B455" s="49" t="s">
        <v>792</v>
      </c>
      <c r="C455" s="49" t="s">
        <v>1749</v>
      </c>
      <c r="D455" s="106" t="s">
        <v>2168</v>
      </c>
    </row>
    <row r="456" spans="1:4" ht="23" x14ac:dyDescent="0.25">
      <c r="A456" s="257" t="s">
        <v>205</v>
      </c>
      <c r="B456" s="49" t="s">
        <v>793</v>
      </c>
      <c r="C456" s="49" t="s">
        <v>1755</v>
      </c>
      <c r="D456" s="106" t="s">
        <v>2169</v>
      </c>
    </row>
    <row r="457" spans="1:4" ht="46" x14ac:dyDescent="0.25">
      <c r="A457" s="257" t="s">
        <v>206</v>
      </c>
      <c r="B457" s="49" t="s">
        <v>794</v>
      </c>
      <c r="C457" s="49" t="s">
        <v>1732</v>
      </c>
      <c r="D457" s="106" t="s">
        <v>2170</v>
      </c>
    </row>
    <row r="458" spans="1:4" ht="23" x14ac:dyDescent="0.25">
      <c r="A458" s="257" t="s">
        <v>207</v>
      </c>
      <c r="B458" s="49" t="s">
        <v>795</v>
      </c>
      <c r="C458" s="49" t="s">
        <v>975</v>
      </c>
      <c r="D458" s="106" t="s">
        <v>2171</v>
      </c>
    </row>
    <row r="459" spans="1:4" ht="23" x14ac:dyDescent="0.25">
      <c r="A459" s="257" t="s">
        <v>208</v>
      </c>
      <c r="B459" s="49" t="s">
        <v>796</v>
      </c>
      <c r="C459" s="49" t="s">
        <v>1733</v>
      </c>
      <c r="D459" s="106" t="s">
        <v>2172</v>
      </c>
    </row>
    <row r="460" spans="1:4" ht="34.5" x14ac:dyDescent="0.25">
      <c r="A460" s="257" t="s">
        <v>210</v>
      </c>
      <c r="B460" s="49" t="s">
        <v>797</v>
      </c>
      <c r="C460" s="49" t="s">
        <v>1757</v>
      </c>
      <c r="D460" s="106" t="s">
        <v>2173</v>
      </c>
    </row>
    <row r="461" spans="1:4" ht="23" x14ac:dyDescent="0.25">
      <c r="A461" s="257" t="s">
        <v>212</v>
      </c>
      <c r="B461" s="49" t="s">
        <v>798</v>
      </c>
      <c r="C461" s="49" t="s">
        <v>1734</v>
      </c>
      <c r="D461" s="106" t="s">
        <v>2174</v>
      </c>
    </row>
    <row r="462" spans="1:4" ht="23" x14ac:dyDescent="0.25">
      <c r="A462" s="257" t="s">
        <v>214</v>
      </c>
      <c r="B462" s="49" t="s">
        <v>799</v>
      </c>
      <c r="C462" s="49" t="s">
        <v>1735</v>
      </c>
      <c r="D462" s="106" t="s">
        <v>2175</v>
      </c>
    </row>
    <row r="463" spans="1:4" ht="34.5" x14ac:dyDescent="0.25">
      <c r="A463" s="257" t="s">
        <v>216</v>
      </c>
      <c r="B463" s="49" t="s">
        <v>800</v>
      </c>
      <c r="C463" s="49" t="s">
        <v>1736</v>
      </c>
      <c r="D463" s="106" t="s">
        <v>2176</v>
      </c>
    </row>
    <row r="464" spans="1:4" x14ac:dyDescent="0.25">
      <c r="A464" s="257" t="s">
        <v>82</v>
      </c>
      <c r="B464" s="49" t="s">
        <v>481</v>
      </c>
      <c r="C464" s="105" t="s">
        <v>1758</v>
      </c>
      <c r="D464" s="106" t="s">
        <v>1872</v>
      </c>
    </row>
    <row r="465" spans="1:4" ht="69" x14ac:dyDescent="0.25">
      <c r="A465" s="257" t="s">
        <v>801</v>
      </c>
      <c r="B465" s="49" t="s">
        <v>483</v>
      </c>
      <c r="C465" s="49" t="s">
        <v>2565</v>
      </c>
      <c r="D465" s="106" t="s">
        <v>1873</v>
      </c>
    </row>
    <row r="466" spans="1:4" ht="23" x14ac:dyDescent="0.25">
      <c r="A466" s="257" t="s">
        <v>218</v>
      </c>
      <c r="B466" s="49" t="s">
        <v>802</v>
      </c>
      <c r="C466" s="49" t="s">
        <v>1797</v>
      </c>
      <c r="D466" s="106" t="s">
        <v>2177</v>
      </c>
    </row>
    <row r="467" spans="1:4" ht="23" x14ac:dyDescent="0.25">
      <c r="A467" s="257" t="s">
        <v>219</v>
      </c>
      <c r="B467" s="49" t="s">
        <v>803</v>
      </c>
      <c r="C467" s="49" t="s">
        <v>1798</v>
      </c>
      <c r="D467" s="106" t="s">
        <v>2178</v>
      </c>
    </row>
    <row r="468" spans="1:4" ht="23" x14ac:dyDescent="0.25">
      <c r="A468" s="257" t="s">
        <v>220</v>
      </c>
      <c r="B468" s="49" t="s">
        <v>804</v>
      </c>
      <c r="C468" s="49" t="s">
        <v>1799</v>
      </c>
      <c r="D468" s="106" t="s">
        <v>2179</v>
      </c>
    </row>
    <row r="469" spans="1:4" ht="23" x14ac:dyDescent="0.25">
      <c r="A469" s="257" t="s">
        <v>221</v>
      </c>
      <c r="B469" s="49" t="s">
        <v>805</v>
      </c>
      <c r="C469" s="49" t="s">
        <v>2331</v>
      </c>
      <c r="D469" s="106" t="s">
        <v>2180</v>
      </c>
    </row>
    <row r="470" spans="1:4" ht="34.5" x14ac:dyDescent="0.25">
      <c r="A470" s="257" t="s">
        <v>222</v>
      </c>
      <c r="B470" s="49" t="s">
        <v>806</v>
      </c>
      <c r="C470" s="49" t="s">
        <v>2341</v>
      </c>
      <c r="D470" s="106" t="s">
        <v>2181</v>
      </c>
    </row>
    <row r="471" spans="1:4" ht="23" x14ac:dyDescent="0.25">
      <c r="A471" s="257" t="s">
        <v>223</v>
      </c>
      <c r="B471" s="49" t="s">
        <v>807</v>
      </c>
      <c r="C471" s="49" t="s">
        <v>1800</v>
      </c>
      <c r="D471" s="106" t="s">
        <v>2182</v>
      </c>
    </row>
    <row r="472" spans="1:4" ht="23" x14ac:dyDescent="0.25">
      <c r="A472" s="257" t="s">
        <v>224</v>
      </c>
      <c r="B472" s="49" t="s">
        <v>808</v>
      </c>
      <c r="C472" s="49" t="s">
        <v>2351</v>
      </c>
      <c r="D472" s="106" t="s">
        <v>2183</v>
      </c>
    </row>
    <row r="473" spans="1:4" x14ac:dyDescent="0.25">
      <c r="A473" s="257" t="s">
        <v>80</v>
      </c>
      <c r="B473" s="49" t="s">
        <v>900</v>
      </c>
      <c r="C473" s="105" t="s">
        <v>2425</v>
      </c>
      <c r="D473" s="106" t="s">
        <v>2184</v>
      </c>
    </row>
    <row r="474" spans="1:4" ht="69" x14ac:dyDescent="0.25">
      <c r="A474" s="257" t="s">
        <v>901</v>
      </c>
      <c r="B474" s="49" t="s">
        <v>902</v>
      </c>
      <c r="C474" s="49" t="s">
        <v>2426</v>
      </c>
      <c r="D474" s="106" t="s">
        <v>2185</v>
      </c>
    </row>
    <row r="475" spans="1:4" x14ac:dyDescent="0.25">
      <c r="A475" s="257" t="s">
        <v>113</v>
      </c>
      <c r="B475" s="49" t="s">
        <v>903</v>
      </c>
      <c r="C475" s="105" t="s">
        <v>1663</v>
      </c>
      <c r="D475" s="106" t="s">
        <v>2186</v>
      </c>
    </row>
    <row r="476" spans="1:4" ht="92" x14ac:dyDescent="0.25">
      <c r="A476" s="257" t="s">
        <v>904</v>
      </c>
      <c r="B476" s="49" t="s">
        <v>905</v>
      </c>
      <c r="C476" s="49" t="s">
        <v>2427</v>
      </c>
      <c r="D476" s="106" t="s">
        <v>2187</v>
      </c>
    </row>
    <row r="477" spans="1:4" ht="23" x14ac:dyDescent="0.25">
      <c r="A477" s="257" t="s">
        <v>319</v>
      </c>
      <c r="B477" s="49" t="s">
        <v>906</v>
      </c>
      <c r="C477" s="49" t="s">
        <v>2558</v>
      </c>
      <c r="D477" s="106" t="s">
        <v>2188</v>
      </c>
    </row>
    <row r="478" spans="1:4" ht="23" x14ac:dyDescent="0.25">
      <c r="A478" s="257" t="s">
        <v>320</v>
      </c>
      <c r="B478" s="49" t="s">
        <v>907</v>
      </c>
      <c r="C478" s="49" t="s">
        <v>2559</v>
      </c>
      <c r="D478" s="106" t="s">
        <v>2189</v>
      </c>
    </row>
    <row r="479" spans="1:4" ht="34.5" x14ac:dyDescent="0.25">
      <c r="A479" s="257" t="s">
        <v>321</v>
      </c>
      <c r="B479" s="49" t="s">
        <v>908</v>
      </c>
      <c r="C479" s="49" t="s">
        <v>2428</v>
      </c>
      <c r="D479" s="106" t="s">
        <v>2190</v>
      </c>
    </row>
    <row r="480" spans="1:4" ht="23" x14ac:dyDescent="0.25">
      <c r="A480" s="257" t="s">
        <v>322</v>
      </c>
      <c r="B480" s="49" t="s">
        <v>909</v>
      </c>
      <c r="C480" s="49" t="s">
        <v>1641</v>
      </c>
      <c r="D480" s="106" t="s">
        <v>2191</v>
      </c>
    </row>
    <row r="481" spans="1:4" ht="34.5" x14ac:dyDescent="0.25">
      <c r="A481" s="257" t="s">
        <v>323</v>
      </c>
      <c r="B481" s="49" t="s">
        <v>910</v>
      </c>
      <c r="C481" s="49" t="s">
        <v>1642</v>
      </c>
      <c r="D481" s="106" t="s">
        <v>2192</v>
      </c>
    </row>
    <row r="482" spans="1:4" ht="34.5" x14ac:dyDescent="0.25">
      <c r="A482" s="257" t="s">
        <v>324</v>
      </c>
      <c r="B482" s="49" t="s">
        <v>911</v>
      </c>
      <c r="C482" s="49" t="s">
        <v>2429</v>
      </c>
      <c r="D482" s="106" t="s">
        <v>2193</v>
      </c>
    </row>
    <row r="483" spans="1:4" x14ac:dyDescent="0.25">
      <c r="A483" s="257" t="s">
        <v>115</v>
      </c>
      <c r="B483" s="49" t="s">
        <v>912</v>
      </c>
      <c r="C483" s="105" t="s">
        <v>1658</v>
      </c>
      <c r="D483" s="106" t="s">
        <v>2194</v>
      </c>
    </row>
    <row r="484" spans="1:4" ht="115" x14ac:dyDescent="0.25">
      <c r="A484" s="257" t="s">
        <v>913</v>
      </c>
      <c r="B484" s="49" t="s">
        <v>914</v>
      </c>
      <c r="C484" s="49" t="s">
        <v>2430</v>
      </c>
      <c r="D484" s="106" t="s">
        <v>2195</v>
      </c>
    </row>
    <row r="485" spans="1:4" ht="34.5" x14ac:dyDescent="0.25">
      <c r="A485" s="257" t="s">
        <v>325</v>
      </c>
      <c r="B485" s="49" t="s">
        <v>915</v>
      </c>
      <c r="C485" s="49" t="s">
        <v>2560</v>
      </c>
      <c r="D485" s="106" t="s">
        <v>2196</v>
      </c>
    </row>
    <row r="486" spans="1:4" ht="46" x14ac:dyDescent="0.25">
      <c r="A486" s="257" t="s">
        <v>326</v>
      </c>
      <c r="B486" s="49" t="s">
        <v>916</v>
      </c>
      <c r="C486" s="49" t="s">
        <v>2431</v>
      </c>
      <c r="D486" s="106" t="s">
        <v>2197</v>
      </c>
    </row>
    <row r="487" spans="1:4" ht="23" x14ac:dyDescent="0.25">
      <c r="A487" s="257" t="s">
        <v>327</v>
      </c>
      <c r="B487" s="49" t="s">
        <v>917</v>
      </c>
      <c r="C487" s="49" t="s">
        <v>1737</v>
      </c>
      <c r="D487" s="106" t="s">
        <v>2198</v>
      </c>
    </row>
    <row r="488" spans="1:4" ht="34.5" x14ac:dyDescent="0.25">
      <c r="A488" s="257" t="s">
        <v>328</v>
      </c>
      <c r="B488" s="49" t="s">
        <v>1643</v>
      </c>
      <c r="C488" s="49" t="s">
        <v>1741</v>
      </c>
      <c r="D488" s="106" t="s">
        <v>2199</v>
      </c>
    </row>
    <row r="489" spans="1:4" ht="23" x14ac:dyDescent="0.25">
      <c r="A489" s="257" t="s">
        <v>329</v>
      </c>
      <c r="B489" s="49" t="s">
        <v>918</v>
      </c>
      <c r="C489" s="49" t="s">
        <v>2432</v>
      </c>
      <c r="D489" s="106" t="s">
        <v>2200</v>
      </c>
    </row>
    <row r="490" spans="1:4" ht="23" x14ac:dyDescent="0.25">
      <c r="A490" s="257" t="s">
        <v>330</v>
      </c>
      <c r="B490" s="49" t="s">
        <v>919</v>
      </c>
      <c r="C490" s="49" t="s">
        <v>1644</v>
      </c>
      <c r="D490" s="106" t="s">
        <v>2201</v>
      </c>
    </row>
    <row r="491" spans="1:4" x14ac:dyDescent="0.25">
      <c r="A491" s="257" t="s">
        <v>117</v>
      </c>
      <c r="B491" s="49" t="s">
        <v>920</v>
      </c>
      <c r="C491" s="105" t="s">
        <v>2433</v>
      </c>
      <c r="D491" s="106" t="s">
        <v>2202</v>
      </c>
    </row>
    <row r="492" spans="1:4" ht="92" x14ac:dyDescent="0.25">
      <c r="A492" s="257" t="s">
        <v>921</v>
      </c>
      <c r="B492" s="49" t="s">
        <v>922</v>
      </c>
      <c r="C492" s="49" t="s">
        <v>2434</v>
      </c>
      <c r="D492" s="106" t="s">
        <v>2203</v>
      </c>
    </row>
    <row r="493" spans="1:4" ht="46" x14ac:dyDescent="0.25">
      <c r="A493" s="257" t="s">
        <v>331</v>
      </c>
      <c r="B493" s="49" t="s">
        <v>923</v>
      </c>
      <c r="C493" s="49" t="s">
        <v>2561</v>
      </c>
      <c r="D493" s="106" t="s">
        <v>2204</v>
      </c>
    </row>
    <row r="494" spans="1:4" ht="23" x14ac:dyDescent="0.25">
      <c r="A494" s="257" t="s">
        <v>332</v>
      </c>
      <c r="B494" s="49" t="s">
        <v>924</v>
      </c>
      <c r="C494" s="49" t="s">
        <v>2562</v>
      </c>
      <c r="D494" s="106" t="s">
        <v>2205</v>
      </c>
    </row>
    <row r="495" spans="1:4" ht="34.5" x14ac:dyDescent="0.25">
      <c r="A495" s="257" t="s">
        <v>333</v>
      </c>
      <c r="B495" s="49" t="s">
        <v>925</v>
      </c>
      <c r="C495" s="49" t="s">
        <v>1742</v>
      </c>
      <c r="D495" s="106" t="s">
        <v>2206</v>
      </c>
    </row>
    <row r="496" spans="1:4" ht="23" x14ac:dyDescent="0.25">
      <c r="A496" s="257" t="s">
        <v>334</v>
      </c>
      <c r="B496" s="49" t="s">
        <v>926</v>
      </c>
      <c r="C496" s="49" t="s">
        <v>1738</v>
      </c>
      <c r="D496" s="106" t="s">
        <v>2207</v>
      </c>
    </row>
    <row r="497" spans="1:4" ht="34.5" x14ac:dyDescent="0.25">
      <c r="A497" s="257" t="s">
        <v>335</v>
      </c>
      <c r="B497" s="49" t="s">
        <v>927</v>
      </c>
      <c r="C497" s="49" t="s">
        <v>2435</v>
      </c>
      <c r="D497" s="106" t="s">
        <v>2208</v>
      </c>
    </row>
    <row r="498" spans="1:4" ht="23" x14ac:dyDescent="0.25">
      <c r="A498" s="257" t="s">
        <v>336</v>
      </c>
      <c r="B498" s="49" t="s">
        <v>928</v>
      </c>
      <c r="C498" s="49" t="s">
        <v>1645</v>
      </c>
      <c r="D498" s="106" t="s">
        <v>2209</v>
      </c>
    </row>
    <row r="499" spans="1:4" x14ac:dyDescent="0.25">
      <c r="A499" s="257" t="s">
        <v>119</v>
      </c>
      <c r="B499" s="49" t="s">
        <v>929</v>
      </c>
      <c r="C499" s="105" t="s">
        <v>1640</v>
      </c>
      <c r="D499" s="106" t="s">
        <v>2210</v>
      </c>
    </row>
    <row r="500" spans="1:4" ht="149.5" x14ac:dyDescent="0.25">
      <c r="A500" s="257" t="s">
        <v>930</v>
      </c>
      <c r="B500" s="49" t="s">
        <v>931</v>
      </c>
      <c r="C500" s="49" t="s">
        <v>2590</v>
      </c>
      <c r="D500" s="106" t="s">
        <v>2271</v>
      </c>
    </row>
    <row r="501" spans="1:4" ht="23" x14ac:dyDescent="0.25">
      <c r="A501" s="257" t="s">
        <v>337</v>
      </c>
      <c r="B501" s="49" t="s">
        <v>932</v>
      </c>
      <c r="C501" s="49" t="s">
        <v>2563</v>
      </c>
      <c r="D501" s="106" t="s">
        <v>2211</v>
      </c>
    </row>
    <row r="502" spans="1:4" s="53" customFormat="1" ht="23" x14ac:dyDescent="0.25">
      <c r="A502" s="257" t="s">
        <v>338</v>
      </c>
      <c r="B502" s="49" t="s">
        <v>933</v>
      </c>
      <c r="C502" s="49" t="s">
        <v>1739</v>
      </c>
      <c r="D502" s="106" t="s">
        <v>2212</v>
      </c>
    </row>
    <row r="503" spans="1:4" ht="23" x14ac:dyDescent="0.25">
      <c r="A503" s="257" t="s">
        <v>339</v>
      </c>
      <c r="B503" s="49" t="s">
        <v>934</v>
      </c>
      <c r="C503" s="49" t="s">
        <v>2436</v>
      </c>
      <c r="D503" s="106" t="s">
        <v>2213</v>
      </c>
    </row>
    <row r="504" spans="1:4" ht="23" x14ac:dyDescent="0.25">
      <c r="A504" s="257" t="s">
        <v>340</v>
      </c>
      <c r="B504" s="49" t="s">
        <v>935</v>
      </c>
      <c r="C504" s="49" t="s">
        <v>1648</v>
      </c>
      <c r="D504" s="106" t="s">
        <v>2214</v>
      </c>
    </row>
    <row r="505" spans="1:4" ht="40.5" customHeight="1" x14ac:dyDescent="0.25">
      <c r="A505" s="257" t="s">
        <v>341</v>
      </c>
      <c r="B505" s="49" t="s">
        <v>1646</v>
      </c>
      <c r="C505" s="49" t="s">
        <v>1647</v>
      </c>
      <c r="D505" s="106" t="s">
        <v>2215</v>
      </c>
    </row>
    <row r="506" spans="1:4" x14ac:dyDescent="0.25">
      <c r="A506" s="257" t="s">
        <v>121</v>
      </c>
      <c r="B506" s="49" t="s">
        <v>481</v>
      </c>
      <c r="C506" s="105" t="s">
        <v>1758</v>
      </c>
      <c r="D506" s="106" t="s">
        <v>1872</v>
      </c>
    </row>
    <row r="507" spans="1:4" ht="69" x14ac:dyDescent="0.25">
      <c r="A507" s="257" t="s">
        <v>936</v>
      </c>
      <c r="B507" s="49" t="s">
        <v>483</v>
      </c>
      <c r="C507" s="49" t="s">
        <v>2565</v>
      </c>
      <c r="D507" s="106" t="s">
        <v>1873</v>
      </c>
    </row>
    <row r="508" spans="1:4" ht="23" x14ac:dyDescent="0.25">
      <c r="A508" s="257" t="s">
        <v>342</v>
      </c>
      <c r="B508" s="49" t="s">
        <v>937</v>
      </c>
      <c r="C508" s="49" t="s">
        <v>1801</v>
      </c>
      <c r="D508" s="106" t="s">
        <v>2216</v>
      </c>
    </row>
    <row r="509" spans="1:4" ht="23" x14ac:dyDescent="0.25">
      <c r="A509" s="257" t="s">
        <v>343</v>
      </c>
      <c r="B509" s="49" t="s">
        <v>938</v>
      </c>
      <c r="C509" s="49" t="s">
        <v>1802</v>
      </c>
      <c r="D509" s="106" t="s">
        <v>2217</v>
      </c>
    </row>
    <row r="510" spans="1:4" ht="23" x14ac:dyDescent="0.25">
      <c r="A510" s="257" t="s">
        <v>344</v>
      </c>
      <c r="B510" s="49" t="s">
        <v>939</v>
      </c>
      <c r="C510" s="49" t="s">
        <v>1803</v>
      </c>
      <c r="D510" s="106" t="s">
        <v>2218</v>
      </c>
    </row>
    <row r="511" spans="1:4" ht="23" x14ac:dyDescent="0.25">
      <c r="A511" s="257" t="s">
        <v>345</v>
      </c>
      <c r="B511" s="49" t="s">
        <v>940</v>
      </c>
      <c r="C511" s="49" t="s">
        <v>2332</v>
      </c>
      <c r="D511" s="106" t="s">
        <v>2219</v>
      </c>
    </row>
    <row r="512" spans="1:4" ht="34.5" x14ac:dyDescent="0.25">
      <c r="A512" s="257" t="s">
        <v>346</v>
      </c>
      <c r="B512" s="49" t="s">
        <v>941</v>
      </c>
      <c r="C512" s="49" t="s">
        <v>2342</v>
      </c>
      <c r="D512" s="106" t="s">
        <v>2220</v>
      </c>
    </row>
    <row r="513" spans="1:4" ht="23" x14ac:dyDescent="0.25">
      <c r="A513" s="257" t="s">
        <v>347</v>
      </c>
      <c r="B513" s="49" t="s">
        <v>942</v>
      </c>
      <c r="C513" s="49" t="s">
        <v>1804</v>
      </c>
      <c r="D513" s="106" t="s">
        <v>2221</v>
      </c>
    </row>
    <row r="514" spans="1:4" ht="23" x14ac:dyDescent="0.25">
      <c r="A514" s="257" t="s">
        <v>348</v>
      </c>
      <c r="B514" s="49" t="s">
        <v>943</v>
      </c>
      <c r="C514" s="49" t="s">
        <v>2352</v>
      </c>
      <c r="D514" s="106" t="s">
        <v>2222</v>
      </c>
    </row>
  </sheetData>
  <sheetProtection sheet="1" objects="1" scenarios="1"/>
  <autoFilter ref="A1:D514">
    <sortState ref="A2:D514">
      <sortCondition ref="A1:A514"/>
    </sortState>
  </autoFilter>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14999847407452621"/>
  </sheetPr>
  <dimension ref="A1:AB326"/>
  <sheetViews>
    <sheetView showGridLines="0" topLeftCell="A287" zoomScale="85" zoomScaleNormal="85" workbookViewId="0">
      <selection activeCell="D297" sqref="D297:D326"/>
    </sheetView>
  </sheetViews>
  <sheetFormatPr defaultColWidth="9.2109375" defaultRowHeight="11.5" x14ac:dyDescent="0.25"/>
  <cols>
    <col min="1" max="1" width="10.78515625" style="245" bestFit="1" customWidth="1"/>
    <col min="2" max="2" width="12.2109375" style="245" bestFit="1" customWidth="1"/>
    <col min="3" max="3" width="13.42578125" style="245" customWidth="1"/>
    <col min="4" max="5" width="3.640625" style="245" customWidth="1"/>
    <col min="6" max="6" width="13.0703125" style="245" bestFit="1" customWidth="1"/>
    <col min="7" max="7" width="3.640625" style="245" customWidth="1"/>
    <col min="8" max="9" width="5.640625" style="39" customWidth="1"/>
    <col min="10" max="10" width="12.640625" style="287" customWidth="1"/>
    <col min="11" max="11" width="15.5703125" style="52" customWidth="1"/>
    <col min="12" max="15" width="9.2109375" style="52"/>
    <col min="16" max="16" width="12.640625" style="52" customWidth="1"/>
    <col min="17" max="17" width="13.7109375" style="52" bestFit="1" customWidth="1"/>
    <col min="18" max="18" width="20.78515625" style="52" customWidth="1"/>
    <col min="19" max="21" width="9.2109375" style="52"/>
    <col min="22" max="22" width="12.640625" style="52" customWidth="1"/>
    <col min="23" max="23" width="8.640625" style="52" customWidth="1"/>
    <col min="24" max="24" width="13.5703125" style="52" bestFit="1" customWidth="1"/>
    <col min="25" max="25" width="3.640625" style="291" customWidth="1"/>
    <col min="26" max="26" width="3.640625" style="245" customWidth="1"/>
    <col min="27" max="27" width="5.640625" style="244" customWidth="1"/>
    <col min="28" max="28" width="8.640625" style="52" customWidth="1"/>
    <col min="29" max="16384" width="9.2109375" style="52"/>
  </cols>
  <sheetData>
    <row r="1" spans="1:28" s="3" customFormat="1" ht="12" thickBot="1" x14ac:dyDescent="0.3">
      <c r="A1" s="215" t="s">
        <v>32</v>
      </c>
      <c r="B1" s="215" t="s">
        <v>33</v>
      </c>
      <c r="C1" s="215" t="s">
        <v>34</v>
      </c>
      <c r="D1" s="215" t="s">
        <v>35</v>
      </c>
      <c r="E1" s="215" t="s">
        <v>36</v>
      </c>
      <c r="F1" s="215" t="s">
        <v>39</v>
      </c>
      <c r="G1" s="215" t="s">
        <v>40</v>
      </c>
      <c r="H1" s="216" t="s">
        <v>37</v>
      </c>
      <c r="I1" s="216" t="s">
        <v>38</v>
      </c>
      <c r="J1" s="285" t="s">
        <v>34</v>
      </c>
      <c r="K1" s="216" t="s">
        <v>41</v>
      </c>
      <c r="L1" s="216">
        <v>1</v>
      </c>
      <c r="M1" s="216">
        <v>2</v>
      </c>
      <c r="N1" s="216">
        <v>3</v>
      </c>
      <c r="O1" s="216" t="s">
        <v>42</v>
      </c>
      <c r="P1" s="217"/>
      <c r="Q1" s="218" t="s">
        <v>32</v>
      </c>
      <c r="R1" s="219" t="s">
        <v>2452</v>
      </c>
      <c r="S1" s="220" t="s">
        <v>2453</v>
      </c>
      <c r="T1" s="220" t="s">
        <v>2454</v>
      </c>
      <c r="U1" s="221" t="s">
        <v>2455</v>
      </c>
      <c r="V1" s="217"/>
      <c r="W1" s="280" t="s">
        <v>595</v>
      </c>
      <c r="X1" s="280" t="s">
        <v>34</v>
      </c>
      <c r="Y1" s="280" t="s">
        <v>1513</v>
      </c>
      <c r="Z1" s="280" t="s">
        <v>36</v>
      </c>
      <c r="AA1" s="280" t="s">
        <v>982</v>
      </c>
      <c r="AB1" s="280" t="s">
        <v>2637</v>
      </c>
    </row>
    <row r="2" spans="1:28" s="40" customFormat="1" x14ac:dyDescent="0.25">
      <c r="A2" s="281" t="s">
        <v>64</v>
      </c>
      <c r="B2" s="281" t="s">
        <v>66</v>
      </c>
      <c r="C2" s="281" t="s">
        <v>161</v>
      </c>
      <c r="D2" s="281" t="s">
        <v>7</v>
      </c>
      <c r="E2" s="281">
        <v>1</v>
      </c>
      <c r="F2" s="222" t="str">
        <f t="shared" ref="F2:F65" si="0">CONCATENATE($B2,$E2)</f>
        <v>ACCESS-11</v>
      </c>
      <c r="G2" s="222">
        <f t="shared" ref="G2:G65" si="1">COUNTIF($F:$F,$F2)</f>
        <v>3</v>
      </c>
      <c r="H2" s="284">
        <f t="shared" ref="H2:H65" ca="1" si="2">INT(LEFT(
VLOOKUP($D2, INDIRECT("'"&amp;$A2&amp;"'!"&amp;"$D:$H"), 5,FALSE), 1)
)</f>
        <v>0</v>
      </c>
      <c r="I2" s="284">
        <f t="shared" ref="I2:I65" ca="1" si="3">IFERROR(IF(H2&gt;2,1,0),0)</f>
        <v>0</v>
      </c>
      <c r="J2" s="286" t="s">
        <v>161</v>
      </c>
      <c r="K2" s="223" t="s">
        <v>64</v>
      </c>
      <c r="L2" s="223"/>
      <c r="M2" s="223"/>
      <c r="N2" s="223"/>
      <c r="O2" s="224">
        <f ca="1">MIN(O3:O5)</f>
        <v>0</v>
      </c>
      <c r="P2" s="225"/>
      <c r="Q2" s="226"/>
      <c r="R2" s="227"/>
      <c r="S2" s="217" t="str">
        <f>IF(VLOOKUP(S$1,Languages!$A:$D,1,TRUE)=S$1,VLOOKUP(S$1,Languages!$A:$D,Kybermittari!$C$7,TRUE),NA())</f>
        <v>Kyberturvallisuuden kypsyystaso</v>
      </c>
      <c r="T2" s="217" t="str">
        <f>IF(VLOOKUP(T$1,Languages!$A:$D,1,TRUE)=T$1,VLOOKUP(T$1,Languages!$A:$D,Kybermittari!$C$7,TRUE),NA())</f>
        <v>Nykytila</v>
      </c>
      <c r="U2" s="228" t="str">
        <f>IF(VLOOKUP(U$1,Languages!$A:$D,1,TRUE)=U$1,VLOOKUP(U$1,Languages!$A:$D,Kybermittari!$C$7,TRUE),NA())</f>
        <v>Edellinen</v>
      </c>
      <c r="V2" s="142"/>
      <c r="W2" s="278" t="str">
        <f ca="1">AB2&amp;"-"&amp;COUNTIF($AB$2:$AB2,$AB2)</f>
        <v>0-1-0-1</v>
      </c>
      <c r="X2" s="279" t="s">
        <v>161</v>
      </c>
      <c r="Y2" s="289">
        <f t="shared" ref="Y2:Y33" ca="1" si="4">VLOOKUP(LEFT($X2,LEN($X2)-1),$K:$O,5,FALSE)</f>
        <v>0</v>
      </c>
      <c r="Z2" s="290">
        <v>1</v>
      </c>
      <c r="AA2" s="277">
        <f t="shared" ref="AA2:AA65" ca="1" si="5">VLOOKUP(X2,C:I,7,FALSE)</f>
        <v>0</v>
      </c>
      <c r="AB2" s="279" t="str">
        <f ca="1">Y2&amp;"-"&amp;Z2&amp;"-"&amp;AA2</f>
        <v>0-1-0</v>
      </c>
    </row>
    <row r="3" spans="1:28" s="3" customFormat="1" x14ac:dyDescent="0.25">
      <c r="A3" s="281" t="s">
        <v>64</v>
      </c>
      <c r="B3" s="281" t="s">
        <v>66</v>
      </c>
      <c r="C3" s="281" t="s">
        <v>163</v>
      </c>
      <c r="D3" s="281" t="s">
        <v>9</v>
      </c>
      <c r="E3" s="281">
        <v>1</v>
      </c>
      <c r="F3" s="222" t="str">
        <f t="shared" si="0"/>
        <v>ACCESS-11</v>
      </c>
      <c r="G3" s="222">
        <f t="shared" si="1"/>
        <v>3</v>
      </c>
      <c r="H3" s="284">
        <f t="shared" ca="1" si="2"/>
        <v>0</v>
      </c>
      <c r="I3" s="284">
        <f t="shared" ca="1" si="3"/>
        <v>0</v>
      </c>
      <c r="J3" s="285" t="s">
        <v>163</v>
      </c>
      <c r="K3" s="229" t="s">
        <v>66</v>
      </c>
      <c r="L3" s="37">
        <f t="shared" ref="L3:N4" ca="1" si="6">SUMIF($F:$F,CONCATENATE($K3,L$1),$I:$I) / VLOOKUP(CONCATENATE($K3,L$1),$F:$G,2,FALSE)</f>
        <v>0</v>
      </c>
      <c r="M3" s="37">
        <f t="shared" ca="1" si="6"/>
        <v>0</v>
      </c>
      <c r="N3" s="37">
        <f t="shared" ca="1" si="6"/>
        <v>0</v>
      </c>
      <c r="O3" s="230">
        <f ca="1">IF( AND($L3=1,$M3=1,$N3&gt;$O$56 ), 3,
    IF( AND($L3=1,$M3&gt;$O$56 ), 2,
      IF( $L3=1, 1, 0)
  )
) + N("MIL3 tarkistus 1. rivillä, MIL2 tarkistus 2. rivillä, ja lopuksi MIL1 tarkistus.")</f>
        <v>0</v>
      </c>
      <c r="P3" s="217"/>
      <c r="Q3" s="231" t="s">
        <v>60</v>
      </c>
      <c r="R3" s="275" t="str">
        <f>Parameters!B62</f>
        <v>Kriittiset
palvelut</v>
      </c>
      <c r="S3" s="225">
        <f t="shared" ref="S3:S13" ca="1" si="7">VLOOKUP($Q3,$K$1:$O$54,5,FALSE)</f>
        <v>0</v>
      </c>
      <c r="T3" s="217">
        <f>VLOOKUP(Data!$Q3,Table2[#All],2,FALSE)</f>
        <v>0</v>
      </c>
      <c r="U3" s="228">
        <f>VLOOKUP(Data!$Q3,Table4[#All],2,FALSE)</f>
        <v>0</v>
      </c>
      <c r="W3" s="278" t="str">
        <f ca="1">AB3&amp;"-"&amp;COUNTIF($AB$2:$AB3,$AB3)</f>
        <v>0-1-0-2</v>
      </c>
      <c r="X3" s="101" t="s">
        <v>163</v>
      </c>
      <c r="Y3" s="289">
        <f t="shared" ca="1" si="4"/>
        <v>0</v>
      </c>
      <c r="Z3" s="102">
        <v>1</v>
      </c>
      <c r="AA3" s="277">
        <f t="shared" ca="1" si="5"/>
        <v>0</v>
      </c>
      <c r="AB3" s="279" t="str">
        <f t="shared" ref="AB3:AB66" ca="1" si="8">Y3&amp;"-"&amp;Z3&amp;"-"&amp;AA3</f>
        <v>0-1-0</v>
      </c>
    </row>
    <row r="4" spans="1:28" s="3" customFormat="1" x14ac:dyDescent="0.25">
      <c r="A4" s="281" t="s">
        <v>64</v>
      </c>
      <c r="B4" s="281" t="s">
        <v>66</v>
      </c>
      <c r="C4" s="281" t="s">
        <v>164</v>
      </c>
      <c r="D4" s="281" t="s">
        <v>10</v>
      </c>
      <c r="E4" s="281">
        <v>1</v>
      </c>
      <c r="F4" s="222" t="str">
        <f t="shared" si="0"/>
        <v>ACCESS-11</v>
      </c>
      <c r="G4" s="222">
        <f t="shared" si="1"/>
        <v>3</v>
      </c>
      <c r="H4" s="284">
        <f ca="1">INT(LEFT(
VLOOKUP($D4, INDIRECT("'"&amp;$A4&amp;"'!"&amp;"$D:$H"), 5,FALSE), 1)
)</f>
        <v>0</v>
      </c>
      <c r="I4" s="284">
        <f t="shared" ca="1" si="3"/>
        <v>0</v>
      </c>
      <c r="J4" s="285" t="s">
        <v>164</v>
      </c>
      <c r="K4" s="229" t="s">
        <v>68</v>
      </c>
      <c r="L4" s="37">
        <f t="shared" ca="1" si="6"/>
        <v>0</v>
      </c>
      <c r="M4" s="37">
        <f t="shared" ca="1" si="6"/>
        <v>0</v>
      </c>
      <c r="N4" s="37">
        <f t="shared" ca="1" si="6"/>
        <v>0</v>
      </c>
      <c r="O4" s="230">
        <f ca="1">IF( AND($L4=1,$M4=1,$N4&gt;$O$56 ), 3,
    IF( AND($L4=1,$M4&gt;$O$56 ), 2,
      IF( $L4=1, 1, 0)
  )
) + N("MIL3 tarkistus 1. rivillä, MIL2 tarkistus 2. rivillä, ja lopuksi MIL1 tarkistus.")</f>
        <v>0</v>
      </c>
      <c r="P4" s="217"/>
      <c r="Q4" s="231" t="s">
        <v>0</v>
      </c>
      <c r="R4" s="275" t="str">
        <f>Parameters!B63</f>
        <v>Riskien
hallinta</v>
      </c>
      <c r="S4" s="225">
        <f t="shared" ca="1" si="7"/>
        <v>0</v>
      </c>
      <c r="T4" s="217">
        <f>VLOOKUP(Data!$Q4,Table2[#All],2,FALSE)</f>
        <v>0</v>
      </c>
      <c r="U4" s="228">
        <f>VLOOKUP(Data!$Q4,Table4[#All],2,FALSE)</f>
        <v>0</v>
      </c>
      <c r="W4" s="278" t="str">
        <f ca="1">AB4&amp;"-"&amp;COUNTIF($AB$2:$AB4,$AB4)</f>
        <v>0-1-0-3</v>
      </c>
      <c r="X4" s="101" t="s">
        <v>164</v>
      </c>
      <c r="Y4" s="289">
        <f t="shared" ca="1" si="4"/>
        <v>0</v>
      </c>
      <c r="Z4" s="102">
        <v>1</v>
      </c>
      <c r="AA4" s="277">
        <f t="shared" ca="1" si="5"/>
        <v>0</v>
      </c>
      <c r="AB4" s="279" t="str">
        <f t="shared" ca="1" si="8"/>
        <v>0-1-0</v>
      </c>
    </row>
    <row r="5" spans="1:28" s="3" customFormat="1" x14ac:dyDescent="0.25">
      <c r="A5" s="281" t="s">
        <v>64</v>
      </c>
      <c r="B5" s="281" t="s">
        <v>66</v>
      </c>
      <c r="C5" s="281" t="s">
        <v>165</v>
      </c>
      <c r="D5" s="281" t="s">
        <v>11</v>
      </c>
      <c r="E5" s="281">
        <v>2</v>
      </c>
      <c r="F5" s="222" t="str">
        <f t="shared" si="0"/>
        <v>ACCESS-12</v>
      </c>
      <c r="G5" s="222">
        <f t="shared" si="1"/>
        <v>3</v>
      </c>
      <c r="H5" s="284">
        <f t="shared" ca="1" si="2"/>
        <v>0</v>
      </c>
      <c r="I5" s="284">
        <f t="shared" ca="1" si="3"/>
        <v>0</v>
      </c>
      <c r="J5" s="285" t="s">
        <v>165</v>
      </c>
      <c r="K5" s="229" t="s">
        <v>71</v>
      </c>
      <c r="L5" s="233">
        <v>1</v>
      </c>
      <c r="M5" s="37">
        <f ca="1">SUMIF($F:$F,CONCATENATE($K5,M$1),$I:$I) / VLOOKUP(CONCATENATE($K5,M$1),$F:$G,2,FALSE)</f>
        <v>0</v>
      </c>
      <c r="N5" s="37">
        <f ca="1">SUMIF($F:$F,CONCATENATE($K5,N$1),$I:$I) / VLOOKUP(CONCATENATE($K5,N$1),$F:$G,2,FALSE)</f>
        <v>0</v>
      </c>
      <c r="O5" s="230">
        <f ca="1">IF( AND($L5=1,$M5=1,$N5&gt;$O$56 ), 3,
    IF( AND($L5=1,$M5&gt;$O$56 ), 2,
      IF( $L5=1, 1, 0)
  )
) + N("MIL3 tarkistus 1. rivillä, MIL2 tarkistus 2. rivillä, ja lopuksi MIL1 tarkistus.")</f>
        <v>1</v>
      </c>
      <c r="P5" s="217"/>
      <c r="Q5" s="231" t="s">
        <v>77</v>
      </c>
      <c r="R5" s="275" t="str">
        <f>Parameters!B64</f>
        <v>Toimitus
ketjut</v>
      </c>
      <c r="S5" s="225">
        <f t="shared" ca="1" si="7"/>
        <v>0</v>
      </c>
      <c r="T5" s="217">
        <f>VLOOKUP(Data!$Q5,Table2[#All],2,FALSE)</f>
        <v>0</v>
      </c>
      <c r="U5" s="228">
        <f>VLOOKUP(Data!$Q5,Table4[#All],2,FALSE)</f>
        <v>0</v>
      </c>
      <c r="W5" s="278" t="str">
        <f ca="1">AB5&amp;"-"&amp;COUNTIF($AB$2:$AB5,$AB5)</f>
        <v>0-2-0-1</v>
      </c>
      <c r="X5" s="101" t="s">
        <v>165</v>
      </c>
      <c r="Y5" s="289">
        <f t="shared" ca="1" si="4"/>
        <v>0</v>
      </c>
      <c r="Z5" s="102">
        <v>2</v>
      </c>
      <c r="AA5" s="277">
        <f t="shared" ca="1" si="5"/>
        <v>0</v>
      </c>
      <c r="AB5" s="279" t="str">
        <f t="shared" ca="1" si="8"/>
        <v>0-2-0</v>
      </c>
    </row>
    <row r="6" spans="1:28" s="3" customFormat="1" x14ac:dyDescent="0.25">
      <c r="A6" s="281" t="s">
        <v>64</v>
      </c>
      <c r="B6" s="281" t="s">
        <v>66</v>
      </c>
      <c r="C6" s="281" t="s">
        <v>166</v>
      </c>
      <c r="D6" s="281" t="s">
        <v>12</v>
      </c>
      <c r="E6" s="281">
        <v>2</v>
      </c>
      <c r="F6" s="222" t="str">
        <f t="shared" si="0"/>
        <v>ACCESS-12</v>
      </c>
      <c r="G6" s="222">
        <f t="shared" si="1"/>
        <v>3</v>
      </c>
      <c r="H6" s="284">
        <f t="shared" ca="1" si="2"/>
        <v>0</v>
      </c>
      <c r="I6" s="284">
        <f t="shared" ca="1" si="3"/>
        <v>0</v>
      </c>
      <c r="J6" s="285" t="s">
        <v>166</v>
      </c>
      <c r="K6" s="223" t="s">
        <v>83</v>
      </c>
      <c r="L6" s="223"/>
      <c r="M6" s="223"/>
      <c r="N6" s="223"/>
      <c r="O6" s="224">
        <f ca="1">MIN(O7:O11)</f>
        <v>0</v>
      </c>
      <c r="P6" s="225"/>
      <c r="Q6" s="231" t="s">
        <v>51</v>
      </c>
      <c r="R6" s="275" t="str">
        <f>Parameters!B65</f>
        <v>Laiteet
ja tieto</v>
      </c>
      <c r="S6" s="225">
        <f t="shared" ca="1" si="7"/>
        <v>0</v>
      </c>
      <c r="T6" s="217">
        <f>VLOOKUP(Data!$Q6,Table2[#All],2,FALSE)</f>
        <v>0</v>
      </c>
      <c r="U6" s="228">
        <f>VLOOKUP(Data!$Q6,Table4[#All],2,FALSE)</f>
        <v>0</v>
      </c>
      <c r="W6" s="278" t="str">
        <f ca="1">AB6&amp;"-"&amp;COUNTIF($AB$2:$AB6,$AB6)</f>
        <v>0-2-0-2</v>
      </c>
      <c r="X6" s="101" t="s">
        <v>166</v>
      </c>
      <c r="Y6" s="289">
        <f t="shared" ca="1" si="4"/>
        <v>0</v>
      </c>
      <c r="Z6" s="102">
        <v>2</v>
      </c>
      <c r="AA6" s="277">
        <f t="shared" ca="1" si="5"/>
        <v>0</v>
      </c>
      <c r="AB6" s="279" t="str">
        <f t="shared" ca="1" si="8"/>
        <v>0-2-0</v>
      </c>
    </row>
    <row r="7" spans="1:28" x14ac:dyDescent="0.25">
      <c r="A7" s="281" t="s">
        <v>64</v>
      </c>
      <c r="B7" s="281" t="s">
        <v>66</v>
      </c>
      <c r="C7" s="281" t="s">
        <v>167</v>
      </c>
      <c r="D7" s="281" t="s">
        <v>13</v>
      </c>
      <c r="E7" s="281">
        <v>2</v>
      </c>
      <c r="F7" s="222" t="str">
        <f t="shared" si="0"/>
        <v>ACCESS-12</v>
      </c>
      <c r="G7" s="222">
        <f t="shared" si="1"/>
        <v>3</v>
      </c>
      <c r="H7" s="284">
        <f t="shared" ca="1" si="2"/>
        <v>0</v>
      </c>
      <c r="I7" s="284">
        <f t="shared" ca="1" si="3"/>
        <v>0</v>
      </c>
      <c r="J7" s="287" t="s">
        <v>167</v>
      </c>
      <c r="K7" s="229" t="s">
        <v>124</v>
      </c>
      <c r="L7" s="37">
        <f t="shared" ref="L7:N8" ca="1" si="9">SUMIF($F:$F,CONCATENATE($K7,L$1),$I:$I) / VLOOKUP(CONCATENATE($K7,L$1),$F:$G,2,FALSE)</f>
        <v>0</v>
      </c>
      <c r="M7" s="37">
        <f t="shared" ca="1" si="9"/>
        <v>0</v>
      </c>
      <c r="N7" s="37">
        <f t="shared" ca="1" si="9"/>
        <v>0</v>
      </c>
      <c r="O7" s="230">
        <f ca="1">IF( AND($L7=1,$M7=1,$N7&gt;$O$56 ), 3,
    IF( AND($L7=1,$M7&gt;$O$56 ), 2,
      IF( $L7=1, 1, 0)
  )
) + N("MIL3 tarkistus 1. rivillä, MIL2 tarkistus 2. rivillä, ja lopuksi MIL1 tarkistus.")</f>
        <v>0</v>
      </c>
      <c r="P7" s="217"/>
      <c r="Q7" s="231" t="s">
        <v>64</v>
      </c>
      <c r="R7" s="275" t="str">
        <f>Parameters!B66</f>
        <v>Pääsyn
hallinta</v>
      </c>
      <c r="S7" s="225">
        <f t="shared" ca="1" si="7"/>
        <v>0</v>
      </c>
      <c r="T7" s="217">
        <f>VLOOKUP(Data!$Q7,Table2[#All],2,FALSE)</f>
        <v>0</v>
      </c>
      <c r="U7" s="228">
        <f>VLOOKUP(Data!$Q7,Table4[#All],2,FALSE)</f>
        <v>0</v>
      </c>
      <c r="W7" s="278" t="str">
        <f ca="1">AB7&amp;"-"&amp;COUNTIF($AB$2:$AB7,$AB7)</f>
        <v>0-2-0-3</v>
      </c>
      <c r="X7" s="278" t="s">
        <v>167</v>
      </c>
      <c r="Y7" s="289">
        <f t="shared" ca="1" si="4"/>
        <v>0</v>
      </c>
      <c r="Z7" s="271">
        <v>2</v>
      </c>
      <c r="AA7" s="277">
        <f t="shared" ca="1" si="5"/>
        <v>0</v>
      </c>
      <c r="AB7" s="279" t="str">
        <f t="shared" ca="1" si="8"/>
        <v>0-2-0</v>
      </c>
    </row>
    <row r="8" spans="1:28" x14ac:dyDescent="0.25">
      <c r="A8" s="281" t="s">
        <v>64</v>
      </c>
      <c r="B8" s="281" t="s">
        <v>66</v>
      </c>
      <c r="C8" s="281" t="s">
        <v>168</v>
      </c>
      <c r="D8" s="281" t="s">
        <v>14</v>
      </c>
      <c r="E8" s="281">
        <v>3</v>
      </c>
      <c r="F8" s="222" t="str">
        <f t="shared" si="0"/>
        <v>ACCESS-13</v>
      </c>
      <c r="G8" s="222">
        <f t="shared" si="1"/>
        <v>1</v>
      </c>
      <c r="H8" s="284">
        <f t="shared" ca="1" si="2"/>
        <v>0</v>
      </c>
      <c r="I8" s="284">
        <f t="shared" ca="1" si="3"/>
        <v>0</v>
      </c>
      <c r="J8" s="287" t="s">
        <v>168</v>
      </c>
      <c r="K8" s="229" t="s">
        <v>127</v>
      </c>
      <c r="L8" s="37">
        <f t="shared" ca="1" si="9"/>
        <v>0</v>
      </c>
      <c r="M8" s="37">
        <f t="shared" ca="1" si="9"/>
        <v>0</v>
      </c>
      <c r="N8" s="37">
        <f t="shared" ca="1" si="9"/>
        <v>0</v>
      </c>
      <c r="O8" s="230">
        <f ca="1">IF( AND($L8=1,$M8=1,$N8&gt;$O$56 ), 3,
    IF( AND($L8=1,$M8&gt;$O$56 ), 2,
      IF( $L8=1, 1, 0)
  )
) + N("MIL3 tarkistus 1. rivillä, MIL2 tarkistus 2. rivillä, ja lopuksi MIL1 tarkistus.")</f>
        <v>0</v>
      </c>
      <c r="P8" s="217"/>
      <c r="Q8" s="231" t="s">
        <v>69</v>
      </c>
      <c r="R8" s="275" t="str">
        <f>Parameters!B67</f>
        <v>Kyberuhat</v>
      </c>
      <c r="S8" s="225">
        <f t="shared" ca="1" si="7"/>
        <v>0</v>
      </c>
      <c r="T8" s="217">
        <f>VLOOKUP(Data!$Q8,Table2[#All],2,FALSE)</f>
        <v>0</v>
      </c>
      <c r="U8" s="228">
        <f>VLOOKUP(Data!$Q8,Table4[#All],2,FALSE)</f>
        <v>0</v>
      </c>
      <c r="W8" s="278" t="str">
        <f ca="1">AB8&amp;"-"&amp;COUNTIF($AB$2:$AB8,$AB8)</f>
        <v>0-3-0-1</v>
      </c>
      <c r="X8" s="278" t="s">
        <v>168</v>
      </c>
      <c r="Y8" s="289">
        <f t="shared" ca="1" si="4"/>
        <v>0</v>
      </c>
      <c r="Z8" s="271">
        <v>3</v>
      </c>
      <c r="AA8" s="277">
        <f t="shared" ca="1" si="5"/>
        <v>0</v>
      </c>
      <c r="AB8" s="279" t="str">
        <f t="shared" ca="1" si="8"/>
        <v>0-3-0</v>
      </c>
    </row>
    <row r="9" spans="1:28" x14ac:dyDescent="0.25">
      <c r="A9" s="281" t="s">
        <v>64</v>
      </c>
      <c r="B9" s="281" t="s">
        <v>68</v>
      </c>
      <c r="C9" s="281" t="s">
        <v>169</v>
      </c>
      <c r="D9" s="281" t="s">
        <v>20</v>
      </c>
      <c r="E9" s="281">
        <v>1</v>
      </c>
      <c r="F9" s="222" t="str">
        <f t="shared" si="0"/>
        <v>ACCESS-21</v>
      </c>
      <c r="G9" s="222">
        <f t="shared" si="1"/>
        <v>3</v>
      </c>
      <c r="H9" s="284">
        <f t="shared" ca="1" si="2"/>
        <v>0</v>
      </c>
      <c r="I9" s="284">
        <f t="shared" ca="1" si="3"/>
        <v>0</v>
      </c>
      <c r="J9" s="287" t="s">
        <v>169</v>
      </c>
      <c r="K9" s="229" t="s">
        <v>130</v>
      </c>
      <c r="L9" s="233">
        <v>1</v>
      </c>
      <c r="M9" s="37">
        <f t="shared" ref="M9:N11" ca="1" si="10">SUMIF($F:$F,CONCATENATE($K9,M$1),$I:$I) / VLOOKUP(CONCATENATE($K9,M$1),$F:$G,2,FALSE)</f>
        <v>0</v>
      </c>
      <c r="N9" s="37">
        <f t="shared" ca="1" si="10"/>
        <v>0</v>
      </c>
      <c r="O9" s="230">
        <f ca="1">IF( AND($L9=1,$M9=1,$N9&gt;$O$56 ), 3,
    IF( AND($L9=1,$M9&gt;$O$56 ), 2,
      IF( $L9=1, 1, 0)
  )
) + N("MIL3 tarkistus 1. rivillä, MIL2 tarkistus 2. rivillä, ja lopuksi MIL1 tarkistus.")</f>
        <v>1</v>
      </c>
      <c r="P9" s="217"/>
      <c r="Q9" s="231" t="s">
        <v>72</v>
      </c>
      <c r="R9" s="275" t="str">
        <f>Parameters!B68</f>
        <v>Tilannekuva</v>
      </c>
      <c r="S9" s="225">
        <f t="shared" ca="1" si="7"/>
        <v>0</v>
      </c>
      <c r="T9" s="217">
        <f>VLOOKUP(Data!$Q9,Table2[#All],2,FALSE)</f>
        <v>0</v>
      </c>
      <c r="U9" s="228">
        <f>VLOOKUP(Data!$Q9,Table4[#All],2,FALSE)</f>
        <v>0</v>
      </c>
      <c r="W9" s="278" t="str">
        <f ca="1">AB9&amp;"-"&amp;COUNTIF($AB$2:$AB9,$AB9)</f>
        <v>0-1-0-4</v>
      </c>
      <c r="X9" s="278" t="s">
        <v>169</v>
      </c>
      <c r="Y9" s="289">
        <f t="shared" ca="1" si="4"/>
        <v>0</v>
      </c>
      <c r="Z9" s="271">
        <v>1</v>
      </c>
      <c r="AA9" s="277">
        <f t="shared" ca="1" si="5"/>
        <v>0</v>
      </c>
      <c r="AB9" s="279" t="str">
        <f t="shared" ca="1" si="8"/>
        <v>0-1-0</v>
      </c>
    </row>
    <row r="10" spans="1:28" x14ac:dyDescent="0.25">
      <c r="A10" s="281" t="s">
        <v>64</v>
      </c>
      <c r="B10" s="281" t="s">
        <v>68</v>
      </c>
      <c r="C10" s="281" t="s">
        <v>170</v>
      </c>
      <c r="D10" s="281" t="s">
        <v>21</v>
      </c>
      <c r="E10" s="281">
        <v>1</v>
      </c>
      <c r="F10" s="222" t="str">
        <f t="shared" si="0"/>
        <v>ACCESS-21</v>
      </c>
      <c r="G10" s="222">
        <f t="shared" si="1"/>
        <v>3</v>
      </c>
      <c r="H10" s="284">
        <f t="shared" ca="1" si="2"/>
        <v>0</v>
      </c>
      <c r="I10" s="284">
        <f t="shared" ca="1" si="3"/>
        <v>0</v>
      </c>
      <c r="J10" s="287" t="s">
        <v>170</v>
      </c>
      <c r="K10" s="229" t="s">
        <v>133</v>
      </c>
      <c r="L10" s="37">
        <f ca="1">SUMIF($F:$F,CONCATENATE($K10,L$1),$I:$I) / VLOOKUP(CONCATENATE($K10,L$1),$F:$G,2,FALSE)</f>
        <v>0</v>
      </c>
      <c r="M10" s="37">
        <f t="shared" ca="1" si="10"/>
        <v>0</v>
      </c>
      <c r="N10" s="37">
        <f t="shared" ca="1" si="10"/>
        <v>0</v>
      </c>
      <c r="O10" s="230">
        <f ca="1">IF( AND($L10=1,$M10=1,$N10&gt;$O$56 ), 3,
    IF( AND($L10=1,$M10&gt;$O$56 ), 2,
      IF( $L10=1, 1, 0)
  )
) + N("MIL3 tarkistus 1. rivillä, MIL2 tarkistus 2. rivillä, ja lopuksi MIL1 tarkistus.")</f>
        <v>0</v>
      </c>
      <c r="P10" s="217"/>
      <c r="Q10" s="231" t="s">
        <v>74</v>
      </c>
      <c r="R10" s="275" t="str">
        <f>Parameters!B69</f>
        <v>Kyber
häiriöt</v>
      </c>
      <c r="S10" s="225">
        <f t="shared" ca="1" si="7"/>
        <v>0</v>
      </c>
      <c r="T10" s="217">
        <f>VLOOKUP(Data!$Q10,Table2[#All],2,FALSE)</f>
        <v>0</v>
      </c>
      <c r="U10" s="228">
        <f>VLOOKUP(Data!$Q10,Table4[#All],2,FALSE)</f>
        <v>0</v>
      </c>
      <c r="W10" s="278" t="str">
        <f ca="1">AB10&amp;"-"&amp;COUNTIF($AB$2:$AB10,$AB10)</f>
        <v>0-1-0-5</v>
      </c>
      <c r="X10" s="278" t="s">
        <v>170</v>
      </c>
      <c r="Y10" s="289">
        <f t="shared" ca="1" si="4"/>
        <v>0</v>
      </c>
      <c r="Z10" s="271">
        <v>1</v>
      </c>
      <c r="AA10" s="277">
        <f t="shared" ca="1" si="5"/>
        <v>0</v>
      </c>
      <c r="AB10" s="279" t="str">
        <f t="shared" ca="1" si="8"/>
        <v>0-1-0</v>
      </c>
    </row>
    <row r="11" spans="1:28" x14ac:dyDescent="0.25">
      <c r="A11" s="281" t="s">
        <v>64</v>
      </c>
      <c r="B11" s="281" t="s">
        <v>68</v>
      </c>
      <c r="C11" s="281" t="s">
        <v>171</v>
      </c>
      <c r="D11" s="281" t="s">
        <v>22</v>
      </c>
      <c r="E11" s="281">
        <v>1</v>
      </c>
      <c r="F11" s="222" t="str">
        <f t="shared" si="0"/>
        <v>ACCESS-21</v>
      </c>
      <c r="G11" s="222">
        <f t="shared" si="1"/>
        <v>3</v>
      </c>
      <c r="H11" s="284">
        <f t="shared" ca="1" si="2"/>
        <v>0</v>
      </c>
      <c r="I11" s="284">
        <f t="shared" ca="1" si="3"/>
        <v>0</v>
      </c>
      <c r="J11" s="287" t="s">
        <v>171</v>
      </c>
      <c r="K11" s="229" t="s">
        <v>136</v>
      </c>
      <c r="L11" s="233">
        <v>1</v>
      </c>
      <c r="M11" s="37">
        <f t="shared" ca="1" si="10"/>
        <v>0</v>
      </c>
      <c r="N11" s="37">
        <f t="shared" ca="1" si="10"/>
        <v>0</v>
      </c>
      <c r="O11" s="230">
        <f ca="1">IF( AND($L11=1,$M11=1,$N11&gt;$O$56 ), 3,
    IF( AND($L11=1,$M11&gt;$O$56 ), 2,
      IF( $L11=1, 1, 0)
  )
) + N("MIL3 tarkistus 1. rivillä, MIL2 tarkistus 2. rivillä, ja lopuksi MIL1 tarkistus.")</f>
        <v>1</v>
      </c>
      <c r="P11" s="217"/>
      <c r="Q11" s="231" t="s">
        <v>80</v>
      </c>
      <c r="R11" s="275" t="str">
        <f>Parameters!B70</f>
        <v>Henkilöstö</v>
      </c>
      <c r="S11" s="225">
        <f t="shared" ca="1" si="7"/>
        <v>0</v>
      </c>
      <c r="T11" s="217">
        <f>VLOOKUP(Data!$Q11,Table2[#All],2,FALSE)</f>
        <v>0</v>
      </c>
      <c r="U11" s="228">
        <f>VLOOKUP(Data!$Q11,Table4[#All],2,FALSE)</f>
        <v>0</v>
      </c>
      <c r="W11" s="278" t="str">
        <f ca="1">AB11&amp;"-"&amp;COUNTIF($AB$2:$AB11,$AB11)</f>
        <v>0-1-0-6</v>
      </c>
      <c r="X11" s="278" t="s">
        <v>171</v>
      </c>
      <c r="Y11" s="289">
        <f t="shared" ca="1" si="4"/>
        <v>0</v>
      </c>
      <c r="Z11" s="271">
        <v>1</v>
      </c>
      <c r="AA11" s="277">
        <f t="shared" ca="1" si="5"/>
        <v>0</v>
      </c>
      <c r="AB11" s="279" t="str">
        <f t="shared" ca="1" si="8"/>
        <v>0-1-0</v>
      </c>
    </row>
    <row r="12" spans="1:28" x14ac:dyDescent="0.25">
      <c r="A12" s="281" t="s">
        <v>64</v>
      </c>
      <c r="B12" s="281" t="s">
        <v>68</v>
      </c>
      <c r="C12" s="281" t="s">
        <v>172</v>
      </c>
      <c r="D12" s="281" t="s">
        <v>23</v>
      </c>
      <c r="E12" s="281">
        <v>2</v>
      </c>
      <c r="F12" s="222" t="str">
        <f t="shared" si="0"/>
        <v>ACCESS-22</v>
      </c>
      <c r="G12" s="222">
        <f t="shared" si="1"/>
        <v>3</v>
      </c>
      <c r="H12" s="284">
        <f t="shared" ca="1" si="2"/>
        <v>0</v>
      </c>
      <c r="I12" s="284">
        <f t="shared" ca="1" si="3"/>
        <v>0</v>
      </c>
      <c r="J12" s="287" t="s">
        <v>172</v>
      </c>
      <c r="K12" s="223" t="s">
        <v>51</v>
      </c>
      <c r="L12" s="223"/>
      <c r="M12" s="223"/>
      <c r="N12" s="223"/>
      <c r="O12" s="224">
        <f ca="1">MIN(O13:O17)</f>
        <v>0</v>
      </c>
      <c r="P12" s="225"/>
      <c r="Q12" s="231" t="s">
        <v>83</v>
      </c>
      <c r="R12" s="275" t="str">
        <f>Parameters!B71</f>
        <v>Kyber
arkkitehtuuri</v>
      </c>
      <c r="S12" s="225">
        <f t="shared" ca="1" si="7"/>
        <v>0</v>
      </c>
      <c r="T12" s="217">
        <f>VLOOKUP(Data!$Q12,Table2[#All],2,FALSE)</f>
        <v>0</v>
      </c>
      <c r="U12" s="228">
        <f>VLOOKUP(Data!$Q12,Table4[#All],2,FALSE)</f>
        <v>0</v>
      </c>
      <c r="W12" s="278" t="str">
        <f ca="1">AB12&amp;"-"&amp;COUNTIF($AB$2:$AB12,$AB12)</f>
        <v>0-2-0-4</v>
      </c>
      <c r="X12" s="278" t="s">
        <v>172</v>
      </c>
      <c r="Y12" s="289">
        <f t="shared" ca="1" si="4"/>
        <v>0</v>
      </c>
      <c r="Z12" s="271">
        <v>2</v>
      </c>
      <c r="AA12" s="277">
        <f t="shared" ca="1" si="5"/>
        <v>0</v>
      </c>
      <c r="AB12" s="279" t="str">
        <f t="shared" ca="1" si="8"/>
        <v>0-2-0</v>
      </c>
    </row>
    <row r="13" spans="1:28" x14ac:dyDescent="0.25">
      <c r="A13" s="281" t="s">
        <v>64</v>
      </c>
      <c r="B13" s="281" t="s">
        <v>68</v>
      </c>
      <c r="C13" s="281" t="s">
        <v>173</v>
      </c>
      <c r="D13" s="281" t="s">
        <v>24</v>
      </c>
      <c r="E13" s="281">
        <v>2</v>
      </c>
      <c r="F13" s="222" t="str">
        <f t="shared" si="0"/>
        <v>ACCESS-22</v>
      </c>
      <c r="G13" s="222">
        <f t="shared" si="1"/>
        <v>3</v>
      </c>
      <c r="H13" s="284">
        <f t="shared" ca="1" si="2"/>
        <v>0</v>
      </c>
      <c r="I13" s="284">
        <f t="shared" ca="1" si="3"/>
        <v>0</v>
      </c>
      <c r="J13" s="287" t="s">
        <v>173</v>
      </c>
      <c r="K13" s="229" t="s">
        <v>53</v>
      </c>
      <c r="L13" s="37">
        <f t="shared" ref="L13:N16" ca="1" si="11">SUMIF($F:$F,CONCATENATE($K13,L$1),$I:$I) / VLOOKUP(CONCATENATE($K13,L$1),$F:$G,2,FALSE)</f>
        <v>0</v>
      </c>
      <c r="M13" s="37">
        <f t="shared" ca="1" si="11"/>
        <v>0</v>
      </c>
      <c r="N13" s="37">
        <f t="shared" ca="1" si="11"/>
        <v>0</v>
      </c>
      <c r="O13" s="230">
        <f ca="1">IF( AND($L13=1,$M13=1,$N13&gt;$O$56 ), 3,
    IF( AND($L13=1,$M13&gt;$O$56 ), 2,
      IF( $L13=1, 1, 0)
  )
) + N("MIL3 tarkistus 1. rivillä, MIL2 tarkistus 2. rivillä, ja lopuksi MIL1 tarkistus.")</f>
        <v>0</v>
      </c>
      <c r="P13" s="217"/>
      <c r="Q13" s="234" t="s">
        <v>85</v>
      </c>
      <c r="R13" s="276" t="str">
        <f>Parameters!B72</f>
        <v>Kehitys
ohjelma</v>
      </c>
      <c r="S13" s="235">
        <f t="shared" ca="1" si="7"/>
        <v>0</v>
      </c>
      <c r="T13" s="236">
        <f>VLOOKUP(Data!$Q13,Table2[#All],2,FALSE)</f>
        <v>0</v>
      </c>
      <c r="U13" s="237">
        <f>VLOOKUP(Data!$Q13,Table4[#All],2,FALSE)</f>
        <v>0</v>
      </c>
      <c r="W13" s="278" t="str">
        <f ca="1">AB13&amp;"-"&amp;COUNTIF($AB$2:$AB13,$AB13)</f>
        <v>0-2-0-5</v>
      </c>
      <c r="X13" s="278" t="s">
        <v>173</v>
      </c>
      <c r="Y13" s="289">
        <f t="shared" ca="1" si="4"/>
        <v>0</v>
      </c>
      <c r="Z13" s="271">
        <v>2</v>
      </c>
      <c r="AA13" s="277">
        <f t="shared" ca="1" si="5"/>
        <v>0</v>
      </c>
      <c r="AB13" s="279" t="str">
        <f t="shared" ca="1" si="8"/>
        <v>0-2-0</v>
      </c>
    </row>
    <row r="14" spans="1:28" ht="12" thickBot="1" x14ac:dyDescent="0.3">
      <c r="A14" s="281" t="s">
        <v>64</v>
      </c>
      <c r="B14" s="281" t="s">
        <v>68</v>
      </c>
      <c r="C14" s="281" t="s">
        <v>174</v>
      </c>
      <c r="D14" s="281" t="s">
        <v>112</v>
      </c>
      <c r="E14" s="281">
        <v>2</v>
      </c>
      <c r="F14" s="222" t="str">
        <f t="shared" si="0"/>
        <v>ACCESS-22</v>
      </c>
      <c r="G14" s="222">
        <f t="shared" si="1"/>
        <v>3</v>
      </c>
      <c r="H14" s="284">
        <f ca="1">INT(LEFT(
VLOOKUP($D14, INDIRECT("'"&amp;$A14&amp;"'!"&amp;"$D:$H"), 5,FALSE), 1)
)</f>
        <v>0</v>
      </c>
      <c r="I14" s="284">
        <f t="shared" ca="1" si="3"/>
        <v>0</v>
      </c>
      <c r="J14" s="287" t="s">
        <v>174</v>
      </c>
      <c r="K14" s="229" t="s">
        <v>55</v>
      </c>
      <c r="L14" s="37">
        <f t="shared" ca="1" si="11"/>
        <v>0</v>
      </c>
      <c r="M14" s="37">
        <f t="shared" ca="1" si="11"/>
        <v>0</v>
      </c>
      <c r="N14" s="37">
        <f t="shared" ca="1" si="11"/>
        <v>0</v>
      </c>
      <c r="O14" s="230">
        <f ca="1">IF( AND($L14=1,$M14=1,$N14&gt;$O$56 ), 3,
    IF( AND($L14=1,$M14&gt;$O$56 ), 2,
      IF( $L14=1, 1, 0)
  )
) + N("MIL3 tarkistus 1. rivillä, MIL2 tarkistus 2. rivillä, ja lopuksi MIL1 tarkistus.")</f>
        <v>0</v>
      </c>
      <c r="P14" s="217"/>
      <c r="Q14" s="217"/>
      <c r="R14" s="217"/>
      <c r="S14" s="217"/>
      <c r="T14" s="217"/>
      <c r="U14" s="217"/>
      <c r="V14" s="217"/>
      <c r="W14" s="278" t="str">
        <f ca="1">AB14&amp;"-"&amp;COUNTIF($AB$2:$AB14,$AB14)</f>
        <v>0-2-0-6</v>
      </c>
      <c r="X14" s="278" t="s">
        <v>174</v>
      </c>
      <c r="Y14" s="289">
        <f t="shared" ca="1" si="4"/>
        <v>0</v>
      </c>
      <c r="Z14" s="271">
        <v>2</v>
      </c>
      <c r="AA14" s="277">
        <f t="shared" ca="1" si="5"/>
        <v>0</v>
      </c>
      <c r="AB14" s="279" t="str">
        <f t="shared" ca="1" si="8"/>
        <v>0-2-0</v>
      </c>
    </row>
    <row r="15" spans="1:28" ht="12" thickBot="1" x14ac:dyDescent="0.3">
      <c r="A15" s="281" t="s">
        <v>64</v>
      </c>
      <c r="B15" s="281" t="s">
        <v>68</v>
      </c>
      <c r="C15" s="281" t="s">
        <v>175</v>
      </c>
      <c r="D15" s="281" t="s">
        <v>176</v>
      </c>
      <c r="E15" s="281">
        <v>3</v>
      </c>
      <c r="F15" s="222" t="str">
        <f t="shared" si="0"/>
        <v>ACCESS-23</v>
      </c>
      <c r="G15" s="222">
        <f t="shared" si="1"/>
        <v>2</v>
      </c>
      <c r="H15" s="284">
        <f ca="1">INT(LEFT(
VLOOKUP($D15, INDIRECT("'"&amp;$A15&amp;"'!"&amp;"$D:$H"), 5,FALSE), 1)
)</f>
        <v>0</v>
      </c>
      <c r="I15" s="284">
        <f t="shared" ca="1" si="3"/>
        <v>0</v>
      </c>
      <c r="J15" s="287" t="s">
        <v>175</v>
      </c>
      <c r="K15" s="229" t="s">
        <v>57</v>
      </c>
      <c r="L15" s="37">
        <f t="shared" ca="1" si="11"/>
        <v>0</v>
      </c>
      <c r="M15" s="37">
        <f t="shared" ca="1" si="11"/>
        <v>0</v>
      </c>
      <c r="N15" s="37">
        <f t="shared" ca="1" si="11"/>
        <v>0</v>
      </c>
      <c r="O15" s="230">
        <f ca="1">IF( AND($L15=1,$M15=1,$N15&gt;$O$56 ), 3,
    IF( AND($L15=1,$M15&gt;$O$56 ), 2,
      IF( $L15=1, 1, 0)
  )
) + N("MIL3 tarkistus 1. rivillä, MIL2 tarkistus 2. rivillä, ja lopuksi MIL1 tarkistus.")</f>
        <v>0</v>
      </c>
      <c r="P15" s="217"/>
      <c r="Q15" s="238" t="s">
        <v>2461</v>
      </c>
      <c r="R15" s="239" t="s">
        <v>2462</v>
      </c>
      <c r="S15" s="220" t="s">
        <v>2463</v>
      </c>
      <c r="T15" s="220" t="s">
        <v>2464</v>
      </c>
      <c r="U15" s="221" t="s">
        <v>2465</v>
      </c>
      <c r="V15" s="217"/>
      <c r="W15" s="278" t="str">
        <f ca="1">AB15&amp;"-"&amp;COUNTIF($AB$2:$AB15,$AB15)</f>
        <v>0-3-0-2</v>
      </c>
      <c r="X15" s="278" t="s">
        <v>175</v>
      </c>
      <c r="Y15" s="289">
        <f t="shared" ca="1" si="4"/>
        <v>0</v>
      </c>
      <c r="Z15" s="271">
        <v>3</v>
      </c>
      <c r="AA15" s="277">
        <f t="shared" ca="1" si="5"/>
        <v>0</v>
      </c>
      <c r="AB15" s="279" t="str">
        <f t="shared" ca="1" si="8"/>
        <v>0-3-0</v>
      </c>
    </row>
    <row r="16" spans="1:28" x14ac:dyDescent="0.25">
      <c r="A16" s="281" t="s">
        <v>64</v>
      </c>
      <c r="B16" s="281" t="s">
        <v>68</v>
      </c>
      <c r="C16" s="281" t="s">
        <v>177</v>
      </c>
      <c r="D16" s="281" t="s">
        <v>178</v>
      </c>
      <c r="E16" s="281">
        <v>3</v>
      </c>
      <c r="F16" s="222" t="str">
        <f t="shared" si="0"/>
        <v>ACCESS-23</v>
      </c>
      <c r="G16" s="222">
        <f t="shared" si="1"/>
        <v>2</v>
      </c>
      <c r="H16" s="284">
        <f ca="1">INT(LEFT(
VLOOKUP($D16, INDIRECT("'"&amp;$A16&amp;"'!"&amp;"$D:$H"), 5,FALSE), 1)
)</f>
        <v>0</v>
      </c>
      <c r="I16" s="284">
        <f t="shared" ca="1" si="3"/>
        <v>0</v>
      </c>
      <c r="J16" s="287" t="s">
        <v>177</v>
      </c>
      <c r="K16" s="229" t="s">
        <v>59</v>
      </c>
      <c r="L16" s="37">
        <f t="shared" ca="1" si="11"/>
        <v>0</v>
      </c>
      <c r="M16" s="37">
        <f t="shared" ca="1" si="11"/>
        <v>0</v>
      </c>
      <c r="N16" s="37">
        <f t="shared" ca="1" si="11"/>
        <v>0</v>
      </c>
      <c r="O16" s="230">
        <f ca="1">IF( AND($L16=1,$M16=1,$N16&gt;$O$56 ), 3,
    IF( AND($L16=1,$M16&gt;$O$56 ), 2,
      IF( $L16=1, 1, 0)
  )
) + N("MIL3 tarkistus 1. rivillä, MIL2 tarkistus 2. rivillä, ja lopuksi MIL1 tarkistus.")</f>
        <v>0</v>
      </c>
      <c r="P16" s="217"/>
      <c r="Q16" s="217"/>
      <c r="R16" s="240">
        <v>0.8</v>
      </c>
      <c r="S16" s="217">
        <v>1</v>
      </c>
      <c r="T16" s="217">
        <v>1</v>
      </c>
      <c r="U16" s="228">
        <v>0.5</v>
      </c>
      <c r="V16" s="217"/>
      <c r="W16" s="278" t="str">
        <f ca="1">AB16&amp;"-"&amp;COUNTIF($AB$2:$AB16,$AB16)</f>
        <v>0-3-0-3</v>
      </c>
      <c r="X16" s="278" t="s">
        <v>177</v>
      </c>
      <c r="Y16" s="289">
        <f t="shared" ca="1" si="4"/>
        <v>0</v>
      </c>
      <c r="Z16" s="271">
        <v>3</v>
      </c>
      <c r="AA16" s="277">
        <f t="shared" ca="1" si="5"/>
        <v>0</v>
      </c>
      <c r="AB16" s="279" t="str">
        <f t="shared" ca="1" si="8"/>
        <v>0-3-0</v>
      </c>
    </row>
    <row r="17" spans="1:28" x14ac:dyDescent="0.25">
      <c r="A17" s="281" t="s">
        <v>64</v>
      </c>
      <c r="B17" s="281" t="s">
        <v>71</v>
      </c>
      <c r="C17" s="281" t="s">
        <v>179</v>
      </c>
      <c r="D17" s="281" t="s">
        <v>25</v>
      </c>
      <c r="E17" s="281">
        <v>2</v>
      </c>
      <c r="F17" s="222" t="str">
        <f t="shared" si="0"/>
        <v>ACCESS-32</v>
      </c>
      <c r="G17" s="222">
        <f t="shared" si="1"/>
        <v>4</v>
      </c>
      <c r="H17" s="284">
        <f t="shared" ca="1" si="2"/>
        <v>0</v>
      </c>
      <c r="I17" s="284">
        <f t="shared" ca="1" si="3"/>
        <v>0</v>
      </c>
      <c r="J17" s="287" t="s">
        <v>179</v>
      </c>
      <c r="K17" s="229" t="s">
        <v>62</v>
      </c>
      <c r="L17" s="233">
        <v>1</v>
      </c>
      <c r="M17" s="37">
        <f ca="1">SUMIF($F:$F,CONCATENATE($K17,M$1),$I:$I) / VLOOKUP(CONCATENATE($K17,M$1),$F:$G,2,FALSE)</f>
        <v>0</v>
      </c>
      <c r="N17" s="37">
        <f ca="1">SUMIF($F:$F,CONCATENATE($K17,N$1),$I:$I) / VLOOKUP(CONCATENATE($K17,N$1),$F:$G,2,FALSE)</f>
        <v>0</v>
      </c>
      <c r="O17" s="230">
        <f ca="1">IF( AND($L17=1,$M17=1,$N17&gt;$O$56 ), 3,
    IF( AND($L17=1,$M17&gt;$O$56 ), 2,
      IF( $L17=1, 1, 0)
  )
) + N("MIL3 tarkistus 1. rivillä, MIL2 tarkistus 2. rivillä, ja lopuksi MIL1 tarkistus.")</f>
        <v>1</v>
      </c>
      <c r="P17" s="217"/>
      <c r="Q17" s="217"/>
      <c r="R17" s="240">
        <v>0.8</v>
      </c>
      <c r="S17" s="217">
        <v>1</v>
      </c>
      <c r="T17" s="217">
        <v>1</v>
      </c>
      <c r="U17" s="228">
        <v>0.5</v>
      </c>
      <c r="V17" s="217"/>
      <c r="W17" s="278" t="str">
        <f ca="1">AB17&amp;"-"&amp;COUNTIF($AB$2:$AB17,$AB17)</f>
        <v>1-2-0-1</v>
      </c>
      <c r="X17" s="278" t="s">
        <v>179</v>
      </c>
      <c r="Y17" s="289">
        <f t="shared" ca="1" si="4"/>
        <v>1</v>
      </c>
      <c r="Z17" s="271">
        <v>2</v>
      </c>
      <c r="AA17" s="277">
        <f t="shared" ca="1" si="5"/>
        <v>0</v>
      </c>
      <c r="AB17" s="279" t="str">
        <f t="shared" ca="1" si="8"/>
        <v>1-2-0</v>
      </c>
    </row>
    <row r="18" spans="1:28" x14ac:dyDescent="0.25">
      <c r="A18" s="281" t="s">
        <v>64</v>
      </c>
      <c r="B18" s="281" t="s">
        <v>71</v>
      </c>
      <c r="C18" s="281" t="s">
        <v>180</v>
      </c>
      <c r="D18" s="281" t="s">
        <v>26</v>
      </c>
      <c r="E18" s="281">
        <v>2</v>
      </c>
      <c r="F18" s="222" t="str">
        <f t="shared" si="0"/>
        <v>ACCESS-32</v>
      </c>
      <c r="G18" s="222">
        <f t="shared" si="1"/>
        <v>4</v>
      </c>
      <c r="H18" s="284">
        <f t="shared" ca="1" si="2"/>
        <v>0</v>
      </c>
      <c r="I18" s="284">
        <f t="shared" ca="1" si="3"/>
        <v>0</v>
      </c>
      <c r="J18" s="287" t="s">
        <v>180</v>
      </c>
      <c r="K18" s="223" t="s">
        <v>60</v>
      </c>
      <c r="L18" s="223"/>
      <c r="M18" s="223"/>
      <c r="N18" s="223"/>
      <c r="O18" s="224">
        <f ca="1">MIN(O19:O21)</f>
        <v>0</v>
      </c>
      <c r="P18" s="225"/>
      <c r="Q18" s="225"/>
      <c r="R18" s="240">
        <v>0.8</v>
      </c>
      <c r="S18" s="217">
        <v>1</v>
      </c>
      <c r="T18" s="217">
        <v>1</v>
      </c>
      <c r="U18" s="228">
        <v>0.5</v>
      </c>
      <c r="V18" s="225"/>
      <c r="W18" s="278" t="str">
        <f ca="1">AB18&amp;"-"&amp;COUNTIF($AB$2:$AB18,$AB18)</f>
        <v>1-2-0-2</v>
      </c>
      <c r="X18" s="278" t="s">
        <v>180</v>
      </c>
      <c r="Y18" s="289">
        <f t="shared" ca="1" si="4"/>
        <v>1</v>
      </c>
      <c r="Z18" s="271">
        <v>2</v>
      </c>
      <c r="AA18" s="277">
        <f t="shared" ca="1" si="5"/>
        <v>0</v>
      </c>
      <c r="AB18" s="279" t="str">
        <f t="shared" ca="1" si="8"/>
        <v>1-2-0</v>
      </c>
    </row>
    <row r="19" spans="1:28" x14ac:dyDescent="0.25">
      <c r="A19" s="281" t="s">
        <v>64</v>
      </c>
      <c r="B19" s="281" t="s">
        <v>71</v>
      </c>
      <c r="C19" s="281" t="s">
        <v>181</v>
      </c>
      <c r="D19" s="281" t="s">
        <v>27</v>
      </c>
      <c r="E19" s="281">
        <v>2</v>
      </c>
      <c r="F19" s="222" t="str">
        <f t="shared" si="0"/>
        <v>ACCESS-32</v>
      </c>
      <c r="G19" s="222">
        <f t="shared" si="1"/>
        <v>4</v>
      </c>
      <c r="H19" s="284">
        <f t="shared" ca="1" si="2"/>
        <v>0</v>
      </c>
      <c r="I19" s="284">
        <f t="shared" ca="1" si="3"/>
        <v>0</v>
      </c>
      <c r="J19" s="287" t="s">
        <v>181</v>
      </c>
      <c r="K19" s="229" t="s">
        <v>157</v>
      </c>
      <c r="L19" s="37">
        <f t="shared" ref="L19:N21" ca="1" si="12">SUMIF($F:$F,CONCATENATE($K19,L$1),$I:$I) / VLOOKUP(CONCATENATE($K19,L$1),$F:$G,2,FALSE)</f>
        <v>0</v>
      </c>
      <c r="M19" s="37">
        <f t="shared" ca="1" si="12"/>
        <v>0</v>
      </c>
      <c r="N19" s="37">
        <f t="shared" ca="1" si="12"/>
        <v>0</v>
      </c>
      <c r="O19" s="230">
        <f ca="1">IF( AND($L19=1,$M19=1,$N19&gt;$O$56 ), 3,
    IF( AND($L19=1,$M19&gt;$O$56 ), 2,
      IF( $L19=1, 1, 0)
  )
) + N("MIL3 tarkistus 1. rivillä, MIL2 tarkistus 2. rivillä, ja lopuksi MIL1 tarkistus.")</f>
        <v>0</v>
      </c>
      <c r="P19" s="217"/>
      <c r="Q19" s="217"/>
      <c r="R19" s="240">
        <v>0.8</v>
      </c>
      <c r="S19" s="217">
        <v>1</v>
      </c>
      <c r="T19" s="217">
        <v>1</v>
      </c>
      <c r="U19" s="228">
        <v>0.5</v>
      </c>
      <c r="V19" s="217"/>
      <c r="W19" s="278" t="str">
        <f ca="1">AB19&amp;"-"&amp;COUNTIF($AB$2:$AB19,$AB19)</f>
        <v>1-2-0-3</v>
      </c>
      <c r="X19" s="278" t="s">
        <v>181</v>
      </c>
      <c r="Y19" s="289">
        <f t="shared" ca="1" si="4"/>
        <v>1</v>
      </c>
      <c r="Z19" s="271">
        <v>2</v>
      </c>
      <c r="AA19" s="277">
        <f t="shared" ca="1" si="5"/>
        <v>0</v>
      </c>
      <c r="AB19" s="279" t="str">
        <f t="shared" ca="1" si="8"/>
        <v>1-2-0</v>
      </c>
    </row>
    <row r="20" spans="1:28" x14ac:dyDescent="0.25">
      <c r="A20" s="281" t="s">
        <v>64</v>
      </c>
      <c r="B20" s="281" t="s">
        <v>71</v>
      </c>
      <c r="C20" s="281" t="s">
        <v>182</v>
      </c>
      <c r="D20" s="281" t="s">
        <v>28</v>
      </c>
      <c r="E20" s="281">
        <v>2</v>
      </c>
      <c r="F20" s="222" t="str">
        <f t="shared" si="0"/>
        <v>ACCESS-32</v>
      </c>
      <c r="G20" s="222">
        <f t="shared" si="1"/>
        <v>4</v>
      </c>
      <c r="H20" s="284">
        <f t="shared" ca="1" si="2"/>
        <v>0</v>
      </c>
      <c r="I20" s="284">
        <f t="shared" ca="1" si="3"/>
        <v>0</v>
      </c>
      <c r="J20" s="287" t="s">
        <v>182</v>
      </c>
      <c r="K20" s="229" t="s">
        <v>160</v>
      </c>
      <c r="L20" s="37">
        <f t="shared" ca="1" si="12"/>
        <v>0</v>
      </c>
      <c r="M20" s="37">
        <f t="shared" ca="1" si="12"/>
        <v>0</v>
      </c>
      <c r="N20" s="37">
        <f t="shared" ca="1" si="12"/>
        <v>0</v>
      </c>
      <c r="O20" s="230">
        <f ca="1">IF( AND($L20=1,$M20=1,$N20&gt;$O$56 ), 3,
    IF( AND($L20=1,$M20&gt;$O$56 ), 2,
      IF( $L20=1, 1, 0)
  )
) + N("MIL3 tarkistus 1. rivillä, MIL2 tarkistus 2. rivillä, ja lopuksi MIL1 tarkistus.")</f>
        <v>0</v>
      </c>
      <c r="P20" s="217"/>
      <c r="Q20" s="217"/>
      <c r="R20" s="240">
        <v>0.8</v>
      </c>
      <c r="S20" s="217">
        <v>1</v>
      </c>
      <c r="T20" s="217">
        <v>1</v>
      </c>
      <c r="U20" s="228">
        <v>0.5</v>
      </c>
      <c r="V20" s="217"/>
      <c r="W20" s="278" t="str">
        <f ca="1">AB20&amp;"-"&amp;COUNTIF($AB$2:$AB20,$AB20)</f>
        <v>1-2-0-4</v>
      </c>
      <c r="X20" s="278" t="s">
        <v>182</v>
      </c>
      <c r="Y20" s="289">
        <f t="shared" ca="1" si="4"/>
        <v>1</v>
      </c>
      <c r="Z20" s="271">
        <v>2</v>
      </c>
      <c r="AA20" s="277">
        <f t="shared" ca="1" si="5"/>
        <v>0</v>
      </c>
      <c r="AB20" s="279" t="str">
        <f t="shared" ca="1" si="8"/>
        <v>1-2-0</v>
      </c>
    </row>
    <row r="21" spans="1:28" x14ac:dyDescent="0.25">
      <c r="A21" s="281" t="s">
        <v>64</v>
      </c>
      <c r="B21" s="281" t="s">
        <v>71</v>
      </c>
      <c r="C21" s="281" t="s">
        <v>183</v>
      </c>
      <c r="D21" s="281" t="s">
        <v>29</v>
      </c>
      <c r="E21" s="281">
        <v>3</v>
      </c>
      <c r="F21" s="222" t="str">
        <f t="shared" si="0"/>
        <v>ACCESS-33</v>
      </c>
      <c r="G21" s="222">
        <f t="shared" si="1"/>
        <v>3</v>
      </c>
      <c r="H21" s="284">
        <f t="shared" ca="1" si="2"/>
        <v>0</v>
      </c>
      <c r="I21" s="284">
        <f t="shared" ca="1" si="3"/>
        <v>0</v>
      </c>
      <c r="J21" s="287" t="s">
        <v>183</v>
      </c>
      <c r="K21" s="229" t="s">
        <v>162</v>
      </c>
      <c r="L21" s="37">
        <f t="shared" ca="1" si="12"/>
        <v>0</v>
      </c>
      <c r="M21" s="37">
        <f t="shared" ca="1" si="12"/>
        <v>0</v>
      </c>
      <c r="N21" s="37">
        <f t="shared" ca="1" si="12"/>
        <v>0</v>
      </c>
      <c r="O21" s="230">
        <f ca="1">IF( AND($L21=1,$M21=1,$N21&gt;$O$56 ), 3,
    IF( AND($L21=1,$M21&gt;$O$56 ), 2,
      IF( $L21=1, 1, 0)
  )
) + N("MIL3 tarkistus 1. rivillä, MIL2 tarkistus 2. rivillä, ja lopuksi MIL1 tarkistus.")</f>
        <v>0</v>
      </c>
      <c r="P21" s="217"/>
      <c r="Q21" s="217"/>
      <c r="R21" s="240">
        <v>0.8</v>
      </c>
      <c r="S21" s="217">
        <v>1</v>
      </c>
      <c r="T21" s="217">
        <v>1</v>
      </c>
      <c r="U21" s="228">
        <v>0.5</v>
      </c>
      <c r="V21" s="217"/>
      <c r="W21" s="278" t="str">
        <f ca="1">AB21&amp;"-"&amp;COUNTIF($AB$2:$AB21,$AB21)</f>
        <v>1-3-0-1</v>
      </c>
      <c r="X21" s="278" t="s">
        <v>183</v>
      </c>
      <c r="Y21" s="289">
        <f t="shared" ca="1" si="4"/>
        <v>1</v>
      </c>
      <c r="Z21" s="271">
        <v>3</v>
      </c>
      <c r="AA21" s="277">
        <f t="shared" ca="1" si="5"/>
        <v>0</v>
      </c>
      <c r="AB21" s="279" t="str">
        <f t="shared" ca="1" si="8"/>
        <v>1-3-0</v>
      </c>
    </row>
    <row r="22" spans="1:28" x14ac:dyDescent="0.25">
      <c r="A22" s="281" t="s">
        <v>64</v>
      </c>
      <c r="B22" s="281" t="s">
        <v>71</v>
      </c>
      <c r="C22" s="281" t="s">
        <v>184</v>
      </c>
      <c r="D22" s="281" t="s">
        <v>30</v>
      </c>
      <c r="E22" s="281">
        <v>3</v>
      </c>
      <c r="F22" s="222" t="str">
        <f t="shared" si="0"/>
        <v>ACCESS-33</v>
      </c>
      <c r="G22" s="222">
        <f t="shared" si="1"/>
        <v>3</v>
      </c>
      <c r="H22" s="284">
        <f t="shared" ca="1" si="2"/>
        <v>0</v>
      </c>
      <c r="I22" s="284">
        <f t="shared" ca="1" si="3"/>
        <v>0</v>
      </c>
      <c r="J22" s="287" t="s">
        <v>184</v>
      </c>
      <c r="K22" s="223" t="s">
        <v>77</v>
      </c>
      <c r="L22" s="223"/>
      <c r="M22" s="223"/>
      <c r="N22" s="223"/>
      <c r="O22" s="224">
        <f ca="1">MIN(O23:O25)</f>
        <v>0</v>
      </c>
      <c r="P22" s="225"/>
      <c r="Q22" s="225"/>
      <c r="R22" s="240">
        <v>0.8</v>
      </c>
      <c r="S22" s="217">
        <v>1</v>
      </c>
      <c r="T22" s="217">
        <v>1</v>
      </c>
      <c r="U22" s="228">
        <v>0.5</v>
      </c>
      <c r="V22" s="225"/>
      <c r="W22" s="278" t="str">
        <f ca="1">AB22&amp;"-"&amp;COUNTIF($AB$2:$AB22,$AB22)</f>
        <v>1-3-0-2</v>
      </c>
      <c r="X22" s="278" t="s">
        <v>184</v>
      </c>
      <c r="Y22" s="289">
        <f t="shared" ca="1" si="4"/>
        <v>1</v>
      </c>
      <c r="Z22" s="271">
        <v>3</v>
      </c>
      <c r="AA22" s="277">
        <f t="shared" ca="1" si="5"/>
        <v>0</v>
      </c>
      <c r="AB22" s="279" t="str">
        <f t="shared" ca="1" si="8"/>
        <v>1-3-0</v>
      </c>
    </row>
    <row r="23" spans="1:28" x14ac:dyDescent="0.25">
      <c r="A23" s="281" t="s">
        <v>64</v>
      </c>
      <c r="B23" s="281" t="s">
        <v>71</v>
      </c>
      <c r="C23" s="281" t="s">
        <v>185</v>
      </c>
      <c r="D23" s="281" t="s">
        <v>31</v>
      </c>
      <c r="E23" s="281">
        <v>3</v>
      </c>
      <c r="F23" s="222" t="str">
        <f t="shared" si="0"/>
        <v>ACCESS-33</v>
      </c>
      <c r="G23" s="222">
        <f t="shared" si="1"/>
        <v>3</v>
      </c>
      <c r="H23" s="284">
        <f t="shared" ca="1" si="2"/>
        <v>0</v>
      </c>
      <c r="I23" s="284">
        <f t="shared" ca="1" si="3"/>
        <v>0</v>
      </c>
      <c r="J23" s="287" t="s">
        <v>185</v>
      </c>
      <c r="K23" s="229" t="s">
        <v>105</v>
      </c>
      <c r="L23" s="37">
        <f t="shared" ref="L23:N24" ca="1" si="13">SUMIF($F:$F,CONCATENATE($K23,L$1),$I:$I) / VLOOKUP(CONCATENATE($K23,L$1),$F:$G,2,FALSE)</f>
        <v>0</v>
      </c>
      <c r="M23" s="37">
        <f t="shared" ca="1" si="13"/>
        <v>0</v>
      </c>
      <c r="N23" s="37">
        <f t="shared" ca="1" si="13"/>
        <v>0</v>
      </c>
      <c r="O23" s="230">
        <f ca="1">IF( AND($L23=1,$M23=1,$N23&gt;$O$56 ), 3,
    IF( AND($L23=1,$M23&gt;$O$56 ), 2,
      IF( $L23=1, 1, 0)
  )
) + N("MIL3 tarkistus 1. rivillä, MIL2 tarkistus 2. rivillä, ja lopuksi MIL1 tarkistus.")</f>
        <v>0</v>
      </c>
      <c r="P23" s="217"/>
      <c r="Q23" s="217"/>
      <c r="R23" s="240">
        <v>0.8</v>
      </c>
      <c r="S23" s="217">
        <v>1</v>
      </c>
      <c r="T23" s="217">
        <v>1</v>
      </c>
      <c r="U23" s="228">
        <v>0.5</v>
      </c>
      <c r="V23" s="217"/>
      <c r="W23" s="278" t="str">
        <f ca="1">AB23&amp;"-"&amp;COUNTIF($AB$2:$AB23,$AB23)</f>
        <v>1-3-0-3</v>
      </c>
      <c r="X23" s="278" t="s">
        <v>185</v>
      </c>
      <c r="Y23" s="289">
        <f t="shared" ca="1" si="4"/>
        <v>1</v>
      </c>
      <c r="Z23" s="271">
        <v>3</v>
      </c>
      <c r="AA23" s="277">
        <f t="shared" ca="1" si="5"/>
        <v>0</v>
      </c>
      <c r="AB23" s="279" t="str">
        <f t="shared" ca="1" si="8"/>
        <v>1-3-0</v>
      </c>
    </row>
    <row r="24" spans="1:28" x14ac:dyDescent="0.25">
      <c r="A24" s="281" t="s">
        <v>83</v>
      </c>
      <c r="B24" s="281" t="s">
        <v>124</v>
      </c>
      <c r="C24" s="281" t="s">
        <v>349</v>
      </c>
      <c r="D24" s="281" t="s">
        <v>7</v>
      </c>
      <c r="E24" s="281">
        <v>1</v>
      </c>
      <c r="F24" s="222" t="str">
        <f t="shared" si="0"/>
        <v>ARCHITECTURE-11</v>
      </c>
      <c r="G24" s="222">
        <f t="shared" si="1"/>
        <v>1</v>
      </c>
      <c r="H24" s="284">
        <f t="shared" ca="1" si="2"/>
        <v>0</v>
      </c>
      <c r="I24" s="284">
        <f t="shared" ca="1" si="3"/>
        <v>0</v>
      </c>
      <c r="J24" s="287" t="s">
        <v>349</v>
      </c>
      <c r="K24" s="229" t="s">
        <v>107</v>
      </c>
      <c r="L24" s="37">
        <f t="shared" ca="1" si="13"/>
        <v>0</v>
      </c>
      <c r="M24" s="37">
        <f t="shared" ca="1" si="13"/>
        <v>0</v>
      </c>
      <c r="N24" s="37">
        <f t="shared" ca="1" si="13"/>
        <v>0</v>
      </c>
      <c r="O24" s="230">
        <f ca="1">IF( AND($L24=1,$M24=1,$N24&gt;$O$56 ), 3,
    IF( AND($L24=1,$M24&gt;$O$56 ), 2,
      IF( $L24=1, 1, 0)
  )
) + N("MIL3 tarkistus 1. rivillä, MIL2 tarkistus 2. rivillä, ja lopuksi MIL1 tarkistus.")</f>
        <v>0</v>
      </c>
      <c r="P24" s="217"/>
      <c r="Q24" s="217"/>
      <c r="R24" s="240">
        <v>0.8</v>
      </c>
      <c r="S24" s="217">
        <v>1</v>
      </c>
      <c r="T24" s="217">
        <v>1</v>
      </c>
      <c r="U24" s="228">
        <v>0.5</v>
      </c>
      <c r="V24" s="217"/>
      <c r="W24" s="278" t="str">
        <f ca="1">AB24&amp;"-"&amp;COUNTIF($AB$2:$AB24,$AB24)</f>
        <v>0-1-0-7</v>
      </c>
      <c r="X24" s="278" t="s">
        <v>349</v>
      </c>
      <c r="Y24" s="289">
        <f t="shared" ca="1" si="4"/>
        <v>0</v>
      </c>
      <c r="Z24" s="271">
        <v>1</v>
      </c>
      <c r="AA24" s="277">
        <f t="shared" ca="1" si="5"/>
        <v>0</v>
      </c>
      <c r="AB24" s="279" t="str">
        <f t="shared" ca="1" si="8"/>
        <v>0-1-0</v>
      </c>
    </row>
    <row r="25" spans="1:28" x14ac:dyDescent="0.25">
      <c r="A25" s="281" t="s">
        <v>83</v>
      </c>
      <c r="B25" s="281" t="s">
        <v>124</v>
      </c>
      <c r="C25" s="281" t="s">
        <v>350</v>
      </c>
      <c r="D25" s="281" t="s">
        <v>9</v>
      </c>
      <c r="E25" s="281">
        <v>2</v>
      </c>
      <c r="F25" s="222" t="str">
        <f t="shared" si="0"/>
        <v>ARCHITECTURE-12</v>
      </c>
      <c r="G25" s="222">
        <f t="shared" si="1"/>
        <v>5</v>
      </c>
      <c r="H25" s="284">
        <f t="shared" ca="1" si="2"/>
        <v>0</v>
      </c>
      <c r="I25" s="284">
        <f t="shared" ca="1" si="3"/>
        <v>0</v>
      </c>
      <c r="J25" s="287" t="s">
        <v>350</v>
      </c>
      <c r="K25" s="229" t="s">
        <v>109</v>
      </c>
      <c r="L25" s="233">
        <v>1</v>
      </c>
      <c r="M25" s="37">
        <f ca="1">SUMIF($F:$F,CONCATENATE($K25,M$1),$I:$I) / VLOOKUP(CONCATENATE($K25,M$1),$F:$G,2,FALSE)</f>
        <v>0</v>
      </c>
      <c r="N25" s="37">
        <f ca="1">SUMIF($F:$F,CONCATENATE($K25,N$1),$I:$I) / VLOOKUP(CONCATENATE($K25,N$1),$F:$G,2,FALSE)</f>
        <v>0</v>
      </c>
      <c r="O25" s="230">
        <f ca="1">IF( AND($L25=1,$M25=1,$N25&gt;$O$56 ), 3,
    IF( AND($L25=1,$M25&gt;$O$56 ), 2,
      IF( $L25=1, 1, 0)
  )
) + N("MIL3 tarkistus 1. rivillä, MIL2 tarkistus 2. rivillä, ja lopuksi MIL1 tarkistus.")</f>
        <v>1</v>
      </c>
      <c r="P25" s="217"/>
      <c r="Q25" s="217"/>
      <c r="R25" s="240">
        <v>0.8</v>
      </c>
      <c r="S25" s="217">
        <v>1</v>
      </c>
      <c r="T25" s="217">
        <v>1</v>
      </c>
      <c r="U25" s="228">
        <v>0.5</v>
      </c>
      <c r="V25" s="217"/>
      <c r="W25" s="278" t="str">
        <f ca="1">AB25&amp;"-"&amp;COUNTIF($AB$2:$AB25,$AB25)</f>
        <v>0-2-0-7</v>
      </c>
      <c r="X25" s="278" t="s">
        <v>350</v>
      </c>
      <c r="Y25" s="289">
        <f t="shared" ca="1" si="4"/>
        <v>0</v>
      </c>
      <c r="Z25" s="271">
        <v>2</v>
      </c>
      <c r="AA25" s="277">
        <f t="shared" ca="1" si="5"/>
        <v>0</v>
      </c>
      <c r="AB25" s="279" t="str">
        <f t="shared" ca="1" si="8"/>
        <v>0-2-0</v>
      </c>
    </row>
    <row r="26" spans="1:28" x14ac:dyDescent="0.25">
      <c r="A26" s="281" t="s">
        <v>83</v>
      </c>
      <c r="B26" s="281" t="s">
        <v>124</v>
      </c>
      <c r="C26" s="281" t="s">
        <v>351</v>
      </c>
      <c r="D26" s="281" t="s">
        <v>10</v>
      </c>
      <c r="E26" s="281">
        <v>2</v>
      </c>
      <c r="F26" s="222" t="str">
        <f t="shared" si="0"/>
        <v>ARCHITECTURE-12</v>
      </c>
      <c r="G26" s="222">
        <f t="shared" si="1"/>
        <v>5</v>
      </c>
      <c r="H26" s="284">
        <f t="shared" ca="1" si="2"/>
        <v>0</v>
      </c>
      <c r="I26" s="284">
        <f t="shared" ca="1" si="3"/>
        <v>0</v>
      </c>
      <c r="J26" s="287" t="s">
        <v>351</v>
      </c>
      <c r="K26" s="223" t="s">
        <v>85</v>
      </c>
      <c r="L26" s="241"/>
      <c r="M26" s="241"/>
      <c r="N26" s="241"/>
      <c r="O26" s="224">
        <f ca="1">MIN(O27:O30)</f>
        <v>0</v>
      </c>
      <c r="P26" s="225"/>
      <c r="Q26" s="225"/>
      <c r="R26" s="242">
        <v>0.8</v>
      </c>
      <c r="S26" s="236">
        <v>1</v>
      </c>
      <c r="T26" s="236">
        <v>1</v>
      </c>
      <c r="U26" s="237">
        <v>0.5</v>
      </c>
      <c r="V26" s="225"/>
      <c r="W26" s="278" t="str">
        <f ca="1">AB26&amp;"-"&amp;COUNTIF($AB$2:$AB26,$AB26)</f>
        <v>0-2-0-8</v>
      </c>
      <c r="X26" s="278" t="s">
        <v>351</v>
      </c>
      <c r="Y26" s="289">
        <f t="shared" ca="1" si="4"/>
        <v>0</v>
      </c>
      <c r="Z26" s="271">
        <v>2</v>
      </c>
      <c r="AA26" s="277">
        <f t="shared" ca="1" si="5"/>
        <v>0</v>
      </c>
      <c r="AB26" s="279" t="str">
        <f t="shared" ca="1" si="8"/>
        <v>0-2-0</v>
      </c>
    </row>
    <row r="27" spans="1:28" x14ac:dyDescent="0.25">
      <c r="A27" s="281" t="s">
        <v>83</v>
      </c>
      <c r="B27" s="281" t="s">
        <v>124</v>
      </c>
      <c r="C27" s="281" t="s">
        <v>352</v>
      </c>
      <c r="D27" s="281" t="s">
        <v>11</v>
      </c>
      <c r="E27" s="281">
        <v>2</v>
      </c>
      <c r="F27" s="222" t="str">
        <f t="shared" si="0"/>
        <v>ARCHITECTURE-12</v>
      </c>
      <c r="G27" s="222">
        <f t="shared" si="1"/>
        <v>5</v>
      </c>
      <c r="H27" s="284">
        <f t="shared" ca="1" si="2"/>
        <v>0</v>
      </c>
      <c r="I27" s="284">
        <f t="shared" ca="1" si="3"/>
        <v>0</v>
      </c>
      <c r="J27" s="287" t="s">
        <v>352</v>
      </c>
      <c r="K27" s="229" t="s">
        <v>141</v>
      </c>
      <c r="L27" s="37">
        <f t="shared" ref="L27:N29" ca="1" si="14">SUMIF($F:$F,CONCATENATE($K27,L$1),$I:$I) / VLOOKUP(CONCATENATE($K27,L$1),$F:$G,2,FALSE)</f>
        <v>0</v>
      </c>
      <c r="M27" s="37">
        <f t="shared" ca="1" si="14"/>
        <v>0</v>
      </c>
      <c r="N27" s="37">
        <f t="shared" ca="1" si="14"/>
        <v>0</v>
      </c>
      <c r="O27" s="230">
        <f ca="1">IF( AND($L27=1,$M27=1,$N27&gt;$O$56 ), 3,
    IF( AND($L27=1,$M27&gt;$O$56 ), 2,
      IF( $L27=1, 1, 0)
  )
) + N("MIL3 tarkistus 1. rivillä, MIL2 tarkistus 2. rivillä, ja lopuksi MIL1 tarkistus.")</f>
        <v>0</v>
      </c>
      <c r="P27" s="217"/>
      <c r="Q27" s="217"/>
      <c r="R27" s="217"/>
      <c r="V27" s="217"/>
      <c r="W27" s="278" t="str">
        <f ca="1">AB27&amp;"-"&amp;COUNTIF($AB$2:$AB27,$AB27)</f>
        <v>0-2-0-9</v>
      </c>
      <c r="X27" s="278" t="s">
        <v>352</v>
      </c>
      <c r="Y27" s="289">
        <f t="shared" ca="1" si="4"/>
        <v>0</v>
      </c>
      <c r="Z27" s="271">
        <v>2</v>
      </c>
      <c r="AA27" s="277">
        <f t="shared" ca="1" si="5"/>
        <v>0</v>
      </c>
      <c r="AB27" s="279" t="str">
        <f t="shared" ca="1" si="8"/>
        <v>0-2-0</v>
      </c>
    </row>
    <row r="28" spans="1:28" x14ac:dyDescent="0.25">
      <c r="A28" s="281" t="s">
        <v>83</v>
      </c>
      <c r="B28" s="281" t="s">
        <v>124</v>
      </c>
      <c r="C28" s="281" t="s">
        <v>353</v>
      </c>
      <c r="D28" s="281" t="s">
        <v>12</v>
      </c>
      <c r="E28" s="281">
        <v>2</v>
      </c>
      <c r="F28" s="222" t="str">
        <f t="shared" si="0"/>
        <v>ARCHITECTURE-12</v>
      </c>
      <c r="G28" s="222">
        <f t="shared" si="1"/>
        <v>5</v>
      </c>
      <c r="H28" s="284">
        <f t="shared" ca="1" si="2"/>
        <v>0</v>
      </c>
      <c r="I28" s="284">
        <f t="shared" ca="1" si="3"/>
        <v>0</v>
      </c>
      <c r="J28" s="287" t="s">
        <v>353</v>
      </c>
      <c r="K28" s="229" t="s">
        <v>144</v>
      </c>
      <c r="L28" s="37">
        <f t="shared" ca="1" si="14"/>
        <v>0</v>
      </c>
      <c r="M28" s="37">
        <f t="shared" ca="1" si="14"/>
        <v>0</v>
      </c>
      <c r="N28" s="37">
        <f t="shared" ca="1" si="14"/>
        <v>0</v>
      </c>
      <c r="O28" s="230">
        <f ca="1">IF( AND($L28=1,$M28=1,$N28&gt;$O$56 ), 3,
    IF( AND($L28=1,$M28&gt;$O$56 ), 2,
      IF( $L28=1, 1, 0)
  )
) + N("MIL3 tarkistus 1. rivillä, MIL2 tarkistus 2. rivillä, ja lopuksi MIL1 tarkistus.")</f>
        <v>0</v>
      </c>
      <c r="P28" s="217"/>
      <c r="Q28" s="217"/>
      <c r="R28" s="217"/>
      <c r="V28" s="217"/>
      <c r="W28" s="278" t="str">
        <f ca="1">AB28&amp;"-"&amp;COUNTIF($AB$2:$AB28,$AB28)</f>
        <v>0-2-0-10</v>
      </c>
      <c r="X28" s="278" t="s">
        <v>353</v>
      </c>
      <c r="Y28" s="289">
        <f t="shared" ca="1" si="4"/>
        <v>0</v>
      </c>
      <c r="Z28" s="271">
        <v>2</v>
      </c>
      <c r="AA28" s="277">
        <f t="shared" ca="1" si="5"/>
        <v>0</v>
      </c>
      <c r="AB28" s="279" t="str">
        <f t="shared" ca="1" si="8"/>
        <v>0-2-0</v>
      </c>
    </row>
    <row r="29" spans="1:28" x14ac:dyDescent="0.25">
      <c r="A29" s="281" t="s">
        <v>83</v>
      </c>
      <c r="B29" s="281" t="s">
        <v>124</v>
      </c>
      <c r="C29" s="281" t="s">
        <v>354</v>
      </c>
      <c r="D29" s="281" t="s">
        <v>13</v>
      </c>
      <c r="E29" s="281">
        <v>2</v>
      </c>
      <c r="F29" s="222" t="str">
        <f t="shared" si="0"/>
        <v>ARCHITECTURE-12</v>
      </c>
      <c r="G29" s="222">
        <f t="shared" si="1"/>
        <v>5</v>
      </c>
      <c r="H29" s="284">
        <f t="shared" ca="1" si="2"/>
        <v>0</v>
      </c>
      <c r="I29" s="284">
        <f t="shared" ca="1" si="3"/>
        <v>0</v>
      </c>
      <c r="J29" s="287" t="s">
        <v>354</v>
      </c>
      <c r="K29" s="229" t="s">
        <v>147</v>
      </c>
      <c r="L29" s="37">
        <f t="shared" ca="1" si="14"/>
        <v>0</v>
      </c>
      <c r="M29" s="37">
        <f t="shared" ca="1" si="14"/>
        <v>0</v>
      </c>
      <c r="N29" s="37">
        <f t="shared" ca="1" si="14"/>
        <v>0</v>
      </c>
      <c r="O29" s="230">
        <f ca="1">IF( AND($L29=1,$M29=1,$N29&gt;$O$56 ), 3,
    IF( AND($L29=1,$M29&gt;$O$56 ), 2,
      IF( $L29=1, 1, 0)
  )
) + N("MIL3 tarkistus 1. rivillä, MIL2 tarkistus 2. rivillä, ja lopuksi MIL1 tarkistus.")</f>
        <v>0</v>
      </c>
      <c r="P29" s="217"/>
      <c r="Q29" s="217"/>
      <c r="R29" s="217"/>
      <c r="V29" s="217"/>
      <c r="W29" s="278" t="str">
        <f ca="1">AB29&amp;"-"&amp;COUNTIF($AB$2:$AB29,$AB29)</f>
        <v>0-2-0-11</v>
      </c>
      <c r="X29" s="278" t="s">
        <v>354</v>
      </c>
      <c r="Y29" s="289">
        <f t="shared" ca="1" si="4"/>
        <v>0</v>
      </c>
      <c r="Z29" s="271">
        <v>2</v>
      </c>
      <c r="AA29" s="277">
        <f t="shared" ca="1" si="5"/>
        <v>0</v>
      </c>
      <c r="AB29" s="279" t="str">
        <f t="shared" ca="1" si="8"/>
        <v>0-2-0</v>
      </c>
    </row>
    <row r="30" spans="1:28" x14ac:dyDescent="0.25">
      <c r="A30" s="281" t="s">
        <v>83</v>
      </c>
      <c r="B30" s="281" t="s">
        <v>124</v>
      </c>
      <c r="C30" s="281" t="s">
        <v>355</v>
      </c>
      <c r="D30" s="281" t="s">
        <v>14</v>
      </c>
      <c r="E30" s="281">
        <v>3</v>
      </c>
      <c r="F30" s="222" t="str">
        <f t="shared" si="0"/>
        <v>ARCHITECTURE-13</v>
      </c>
      <c r="G30" s="222">
        <f t="shared" si="1"/>
        <v>3</v>
      </c>
      <c r="H30" s="284">
        <f t="shared" ca="1" si="2"/>
        <v>0</v>
      </c>
      <c r="I30" s="284">
        <f t="shared" ca="1" si="3"/>
        <v>0</v>
      </c>
      <c r="J30" s="287" t="s">
        <v>355</v>
      </c>
      <c r="K30" s="229" t="s">
        <v>150</v>
      </c>
      <c r="L30" s="233">
        <v>1</v>
      </c>
      <c r="M30" s="37">
        <f ca="1">SUMIF($F:$F,CONCATENATE($K30,M$1),$I:$I) / VLOOKUP(CONCATENATE($K30,M$1),$F:$G,2,FALSE)</f>
        <v>0</v>
      </c>
      <c r="N30" s="37">
        <f ca="1">SUMIF($F:$F,CONCATENATE($K30,N$1),$I:$I) / VLOOKUP(CONCATENATE($K30,N$1),$F:$G,2,FALSE)</f>
        <v>0</v>
      </c>
      <c r="O30" s="230">
        <f ca="1">IF( AND($L30=1,$M30=1,$N30&gt;$O$56 ), 3,
    IF( AND($L30=1,$M30&gt;$O$56 ), 2,
      IF( $L30=1, 1, 0)
  )
) + N("MIL3 tarkistus 1. rivillä, MIL2 tarkistus 2. rivillä, ja lopuksi MIL1 tarkistus.")</f>
        <v>1</v>
      </c>
      <c r="P30" s="217"/>
      <c r="Q30" s="217"/>
      <c r="R30" s="217"/>
      <c r="V30" s="217"/>
      <c r="W30" s="278" t="str">
        <f ca="1">AB30&amp;"-"&amp;COUNTIF($AB$2:$AB30,$AB30)</f>
        <v>0-3-0-4</v>
      </c>
      <c r="X30" s="278" t="s">
        <v>355</v>
      </c>
      <c r="Y30" s="289">
        <f t="shared" ca="1" si="4"/>
        <v>0</v>
      </c>
      <c r="Z30" s="271">
        <v>3</v>
      </c>
      <c r="AA30" s="277">
        <f t="shared" ca="1" si="5"/>
        <v>0</v>
      </c>
      <c r="AB30" s="279" t="str">
        <f t="shared" ca="1" si="8"/>
        <v>0-3-0</v>
      </c>
    </row>
    <row r="31" spans="1:28" x14ac:dyDescent="0.25">
      <c r="A31" s="281" t="s">
        <v>83</v>
      </c>
      <c r="B31" s="281" t="s">
        <v>124</v>
      </c>
      <c r="C31" s="281" t="s">
        <v>356</v>
      </c>
      <c r="D31" s="281" t="s">
        <v>15</v>
      </c>
      <c r="E31" s="281">
        <v>3</v>
      </c>
      <c r="F31" s="222" t="str">
        <f t="shared" si="0"/>
        <v>ARCHITECTURE-13</v>
      </c>
      <c r="G31" s="222">
        <f t="shared" si="1"/>
        <v>3</v>
      </c>
      <c r="H31" s="284">
        <f t="shared" ca="1" si="2"/>
        <v>0</v>
      </c>
      <c r="I31" s="284">
        <f t="shared" ca="1" si="3"/>
        <v>0</v>
      </c>
      <c r="J31" s="287" t="s">
        <v>356</v>
      </c>
      <c r="K31" s="223" t="s">
        <v>74</v>
      </c>
      <c r="L31" s="223"/>
      <c r="M31" s="223"/>
      <c r="N31" s="223"/>
      <c r="O31" s="224">
        <f ca="1">MIN(O32:O35)</f>
        <v>0</v>
      </c>
      <c r="P31" s="225"/>
      <c r="Q31" s="217"/>
      <c r="R31" s="225"/>
      <c r="S31" s="225"/>
      <c r="T31" s="225"/>
      <c r="U31" s="225"/>
      <c r="V31" s="225"/>
      <c r="W31" s="278" t="str">
        <f ca="1">AB31&amp;"-"&amp;COUNTIF($AB$2:$AB31,$AB31)</f>
        <v>0-3-0-5</v>
      </c>
      <c r="X31" s="278" t="s">
        <v>356</v>
      </c>
      <c r="Y31" s="289">
        <f t="shared" ca="1" si="4"/>
        <v>0</v>
      </c>
      <c r="Z31" s="271">
        <v>3</v>
      </c>
      <c r="AA31" s="277">
        <f t="shared" ca="1" si="5"/>
        <v>0</v>
      </c>
      <c r="AB31" s="279" t="str">
        <f t="shared" ca="1" si="8"/>
        <v>0-3-0</v>
      </c>
    </row>
    <row r="32" spans="1:28" x14ac:dyDescent="0.25">
      <c r="A32" s="281" t="s">
        <v>83</v>
      </c>
      <c r="B32" s="281" t="s">
        <v>124</v>
      </c>
      <c r="C32" s="281" t="s">
        <v>357</v>
      </c>
      <c r="D32" s="281" t="s">
        <v>16</v>
      </c>
      <c r="E32" s="281">
        <v>3</v>
      </c>
      <c r="F32" s="222" t="str">
        <f t="shared" si="0"/>
        <v>ARCHITECTURE-13</v>
      </c>
      <c r="G32" s="222">
        <f t="shared" si="1"/>
        <v>3</v>
      </c>
      <c r="H32" s="284">
        <f t="shared" ca="1" si="2"/>
        <v>0</v>
      </c>
      <c r="I32" s="284">
        <f t="shared" ca="1" si="3"/>
        <v>0</v>
      </c>
      <c r="J32" s="287" t="s">
        <v>357</v>
      </c>
      <c r="K32" s="229" t="s">
        <v>96</v>
      </c>
      <c r="L32" s="37">
        <f t="shared" ref="L32:N34" ca="1" si="15">SUMIF($F:$F,CONCATENATE($K32,L$1),$I:$I) / VLOOKUP(CONCATENATE($K32,L$1),$F:$G,2,FALSE)</f>
        <v>0</v>
      </c>
      <c r="M32" s="37">
        <f t="shared" ca="1" si="15"/>
        <v>0</v>
      </c>
      <c r="N32" s="37">
        <f t="shared" ca="1" si="15"/>
        <v>0</v>
      </c>
      <c r="O32" s="230">
        <f ca="1">IF( AND($L32=1,$M32=1,$N32&gt;$O$56 ), 3,
    IF( AND($L32=1,$M32&gt;$O$56 ), 2,
      IF( $L32=1, 1, 0)
  )
) + N("MIL3 tarkistus 1. rivillä, MIL2 tarkistus 2. rivillä, ja lopuksi MIL1 tarkistus.")</f>
        <v>0</v>
      </c>
      <c r="P32" s="217"/>
      <c r="R32" s="217"/>
      <c r="S32" s="217"/>
      <c r="T32" s="217"/>
      <c r="U32" s="217"/>
      <c r="V32" s="217"/>
      <c r="W32" s="278" t="str">
        <f ca="1">AB32&amp;"-"&amp;COUNTIF($AB$2:$AB32,$AB32)</f>
        <v>0-3-0-6</v>
      </c>
      <c r="X32" s="278" t="s">
        <v>357</v>
      </c>
      <c r="Y32" s="289">
        <f t="shared" ca="1" si="4"/>
        <v>0</v>
      </c>
      <c r="Z32" s="271">
        <v>3</v>
      </c>
      <c r="AA32" s="277">
        <f t="shared" ca="1" si="5"/>
        <v>0</v>
      </c>
      <c r="AB32" s="279" t="str">
        <f t="shared" ca="1" si="8"/>
        <v>0-3-0</v>
      </c>
    </row>
    <row r="33" spans="1:28" x14ac:dyDescent="0.25">
      <c r="A33" s="281" t="s">
        <v>83</v>
      </c>
      <c r="B33" s="281" t="s">
        <v>127</v>
      </c>
      <c r="C33" s="281" t="s">
        <v>358</v>
      </c>
      <c r="D33" s="281" t="s">
        <v>20</v>
      </c>
      <c r="E33" s="281">
        <v>1</v>
      </c>
      <c r="F33" s="222" t="str">
        <f t="shared" si="0"/>
        <v>ARCHITECTURE-21</v>
      </c>
      <c r="G33" s="222">
        <f t="shared" si="1"/>
        <v>1</v>
      </c>
      <c r="H33" s="284">
        <f t="shared" ca="1" si="2"/>
        <v>0</v>
      </c>
      <c r="I33" s="284">
        <f t="shared" ca="1" si="3"/>
        <v>0</v>
      </c>
      <c r="J33" s="287" t="s">
        <v>358</v>
      </c>
      <c r="K33" s="229" t="s">
        <v>98</v>
      </c>
      <c r="L33" s="37">
        <f t="shared" ca="1" si="15"/>
        <v>0</v>
      </c>
      <c r="M33" s="37">
        <f t="shared" ca="1" si="15"/>
        <v>0</v>
      </c>
      <c r="N33" s="37">
        <f t="shared" ca="1" si="15"/>
        <v>0</v>
      </c>
      <c r="O33" s="230">
        <f ca="1">IF( AND($L33=1,$M33=1,$N33&gt;$O$56 ), 3,
    IF( AND($L33=1,$M33&gt;$O$56 ), 2,
      IF( $L33=1, 1, 0)
  )
) + N("MIL3 tarkistus 1. rivillä, MIL2 tarkistus 2. rivillä, ja lopuksi MIL1 tarkistus.")</f>
        <v>0</v>
      </c>
      <c r="P33" s="217"/>
      <c r="R33" s="217"/>
      <c r="S33" s="217"/>
      <c r="T33" s="217"/>
      <c r="U33" s="217"/>
      <c r="V33" s="217"/>
      <c r="W33" s="278" t="str">
        <f ca="1">AB33&amp;"-"&amp;COUNTIF($AB$2:$AB33,$AB33)</f>
        <v>0-1-0-8</v>
      </c>
      <c r="X33" s="278" t="s">
        <v>358</v>
      </c>
      <c r="Y33" s="289">
        <f t="shared" ca="1" si="4"/>
        <v>0</v>
      </c>
      <c r="Z33" s="271">
        <v>1</v>
      </c>
      <c r="AA33" s="277">
        <f t="shared" ca="1" si="5"/>
        <v>0</v>
      </c>
      <c r="AB33" s="279" t="str">
        <f t="shared" ca="1" si="8"/>
        <v>0-1-0</v>
      </c>
    </row>
    <row r="34" spans="1:28" x14ac:dyDescent="0.25">
      <c r="A34" s="281" t="s">
        <v>83</v>
      </c>
      <c r="B34" s="281" t="s">
        <v>127</v>
      </c>
      <c r="C34" s="281" t="s">
        <v>359</v>
      </c>
      <c r="D34" s="281" t="s">
        <v>21</v>
      </c>
      <c r="E34" s="281">
        <v>2</v>
      </c>
      <c r="F34" s="222" t="str">
        <f t="shared" si="0"/>
        <v>ARCHITECTURE-22</v>
      </c>
      <c r="G34" s="222">
        <f t="shared" si="1"/>
        <v>1</v>
      </c>
      <c r="H34" s="284">
        <f t="shared" ca="1" si="2"/>
        <v>0</v>
      </c>
      <c r="I34" s="284">
        <f t="shared" ca="1" si="3"/>
        <v>0</v>
      </c>
      <c r="J34" s="287" t="s">
        <v>359</v>
      </c>
      <c r="K34" s="229" t="s">
        <v>100</v>
      </c>
      <c r="L34" s="37">
        <f t="shared" ca="1" si="15"/>
        <v>0</v>
      </c>
      <c r="M34" s="37">
        <f t="shared" ca="1" si="15"/>
        <v>0</v>
      </c>
      <c r="N34" s="37">
        <f t="shared" ca="1" si="15"/>
        <v>0</v>
      </c>
      <c r="O34" s="230">
        <f ca="1">IF( AND($L34=1,$M34=1,$N34&gt;$O$56 ), 3,
    IF( AND($L34=1,$M34&gt;$O$56 ), 2,
      IF( $L34=1, 1, 0)
  )
) + N("MIL3 tarkistus 1. rivillä, MIL2 tarkistus 2. rivillä, ja lopuksi MIL1 tarkistus.")</f>
        <v>0</v>
      </c>
      <c r="P34" s="217"/>
      <c r="R34" s="217"/>
      <c r="S34" s="217"/>
      <c r="T34" s="217"/>
      <c r="U34" s="217"/>
      <c r="V34" s="217"/>
      <c r="W34" s="278" t="str">
        <f ca="1">AB34&amp;"-"&amp;COUNTIF($AB$2:$AB34,$AB34)</f>
        <v>0-2-0-12</v>
      </c>
      <c r="X34" s="278" t="s">
        <v>359</v>
      </c>
      <c r="Y34" s="289">
        <f t="shared" ref="Y34:Y65" ca="1" si="16">VLOOKUP(LEFT($X34,LEN($X34)-1),$K:$O,5,FALSE)</f>
        <v>0</v>
      </c>
      <c r="Z34" s="271">
        <v>2</v>
      </c>
      <c r="AA34" s="277">
        <f t="shared" ca="1" si="5"/>
        <v>0</v>
      </c>
      <c r="AB34" s="279" t="str">
        <f t="shared" ca="1" si="8"/>
        <v>0-2-0</v>
      </c>
    </row>
    <row r="35" spans="1:28" x14ac:dyDescent="0.25">
      <c r="A35" s="281" t="s">
        <v>83</v>
      </c>
      <c r="B35" s="281" t="s">
        <v>127</v>
      </c>
      <c r="C35" s="281" t="s">
        <v>360</v>
      </c>
      <c r="D35" s="281" t="s">
        <v>22</v>
      </c>
      <c r="E35" s="281">
        <v>3</v>
      </c>
      <c r="F35" s="222" t="str">
        <f t="shared" si="0"/>
        <v>ARCHITECTURE-23</v>
      </c>
      <c r="G35" s="222">
        <f t="shared" si="1"/>
        <v>1</v>
      </c>
      <c r="H35" s="284">
        <f t="shared" ca="1" si="2"/>
        <v>0</v>
      </c>
      <c r="I35" s="284">
        <f t="shared" ca="1" si="3"/>
        <v>0</v>
      </c>
      <c r="J35" s="287" t="s">
        <v>360</v>
      </c>
      <c r="K35" s="229" t="s">
        <v>102</v>
      </c>
      <c r="L35" s="233">
        <v>1</v>
      </c>
      <c r="M35" s="37">
        <f ca="1">SUMIF($F:$F,CONCATENATE($K35,M$1),$I:$I) / VLOOKUP(CONCATENATE($K35,M$1),$F:$G,2,FALSE)</f>
        <v>0</v>
      </c>
      <c r="N35" s="37">
        <f ca="1">SUMIF($F:$F,CONCATENATE($K35,N$1),$I:$I) / VLOOKUP(CONCATENATE($K35,N$1),$F:$G,2,FALSE)</f>
        <v>0</v>
      </c>
      <c r="O35" s="230">
        <f ca="1">IF( AND($L35=1,$M35=1,$N35&gt;$O$56 ), 3,
    IF( AND($L35=1,$M35&gt;$O$56 ), 2,
      IF( $L35=1, 1, 0)
  )
) + N("MIL3 tarkistus 1. rivillä, MIL2 tarkistus 2. rivillä, ja lopuksi MIL1 tarkistus.")</f>
        <v>1</v>
      </c>
      <c r="P35" s="217"/>
      <c r="R35" s="217"/>
      <c r="S35" s="217"/>
      <c r="T35" s="217"/>
      <c r="U35" s="217"/>
      <c r="V35" s="217"/>
      <c r="W35" s="278" t="str">
        <f ca="1">AB35&amp;"-"&amp;COUNTIF($AB$2:$AB35,$AB35)</f>
        <v>0-3-0-7</v>
      </c>
      <c r="X35" s="278" t="s">
        <v>360</v>
      </c>
      <c r="Y35" s="289">
        <f t="shared" ca="1" si="16"/>
        <v>0</v>
      </c>
      <c r="Z35" s="271">
        <v>3</v>
      </c>
      <c r="AA35" s="277">
        <f t="shared" ca="1" si="5"/>
        <v>0</v>
      </c>
      <c r="AB35" s="279" t="str">
        <f t="shared" ca="1" si="8"/>
        <v>0-3-0</v>
      </c>
    </row>
    <row r="36" spans="1:28" x14ac:dyDescent="0.25">
      <c r="A36" s="281" t="s">
        <v>83</v>
      </c>
      <c r="B36" s="281" t="s">
        <v>130</v>
      </c>
      <c r="C36" s="281" t="s">
        <v>361</v>
      </c>
      <c r="D36" s="281" t="s">
        <v>25</v>
      </c>
      <c r="E36" s="281">
        <v>2</v>
      </c>
      <c r="F36" s="222" t="str">
        <f t="shared" si="0"/>
        <v>ARCHITECTURE-32</v>
      </c>
      <c r="G36" s="222">
        <f t="shared" si="1"/>
        <v>2</v>
      </c>
      <c r="H36" s="284">
        <f t="shared" ca="1" si="2"/>
        <v>0</v>
      </c>
      <c r="I36" s="284">
        <f t="shared" ca="1" si="3"/>
        <v>0</v>
      </c>
      <c r="J36" s="287" t="s">
        <v>361</v>
      </c>
      <c r="K36" s="223" t="s">
        <v>0</v>
      </c>
      <c r="L36" s="223"/>
      <c r="M36" s="223"/>
      <c r="N36" s="223"/>
      <c r="O36" s="224">
        <f ca="1">MIN(O37:O39)</f>
        <v>0</v>
      </c>
      <c r="P36" s="225"/>
      <c r="R36" s="217"/>
      <c r="S36" s="217"/>
      <c r="T36" s="217"/>
      <c r="U36" s="217"/>
      <c r="V36" s="225"/>
      <c r="W36" s="278" t="str">
        <f ca="1">AB36&amp;"-"&amp;COUNTIF($AB$2:$AB36,$AB36)</f>
        <v>1-2-0-5</v>
      </c>
      <c r="X36" s="278" t="s">
        <v>361</v>
      </c>
      <c r="Y36" s="289">
        <f t="shared" ca="1" si="16"/>
        <v>1</v>
      </c>
      <c r="Z36" s="271">
        <v>2</v>
      </c>
      <c r="AA36" s="277">
        <f t="shared" ca="1" si="5"/>
        <v>0</v>
      </c>
      <c r="AB36" s="279" t="str">
        <f t="shared" ca="1" si="8"/>
        <v>1-2-0</v>
      </c>
    </row>
    <row r="37" spans="1:28" x14ac:dyDescent="0.25">
      <c r="A37" s="281" t="s">
        <v>83</v>
      </c>
      <c r="B37" s="281" t="s">
        <v>130</v>
      </c>
      <c r="C37" s="281" t="s">
        <v>362</v>
      </c>
      <c r="D37" s="281" t="s">
        <v>26</v>
      </c>
      <c r="E37" s="281">
        <v>2</v>
      </c>
      <c r="F37" s="222" t="str">
        <f t="shared" si="0"/>
        <v>ARCHITECTURE-32</v>
      </c>
      <c r="G37" s="222">
        <f t="shared" si="1"/>
        <v>2</v>
      </c>
      <c r="H37" s="284">
        <f t="shared" ca="1" si="2"/>
        <v>0</v>
      </c>
      <c r="I37" s="284">
        <f t="shared" ca="1" si="3"/>
        <v>0</v>
      </c>
      <c r="J37" s="287" t="s">
        <v>362</v>
      </c>
      <c r="K37" s="229" t="s">
        <v>43</v>
      </c>
      <c r="L37" s="37">
        <f ca="1">SUMIF($F:$F,CONCATENATE($K37,L$1),$I:$I) / VLOOKUP(CONCATENATE($K37,L$1),$F:$G,2,FALSE)</f>
        <v>0</v>
      </c>
      <c r="M37" s="37">
        <f ca="1">SUMIF($F:$F,CONCATENATE($K37,M$1),$I:$I) / VLOOKUP(CONCATENATE($K37,M$1),$F:$G,2,FALSE)</f>
        <v>0</v>
      </c>
      <c r="N37" s="37">
        <f ca="1">SUMIF($F:$F,CONCATENATE($K37,N$1),$I:$I) / VLOOKUP(CONCATENATE($K37,N$1),$F:$G,2,FALSE)</f>
        <v>0</v>
      </c>
      <c r="O37" s="230">
        <f ca="1">IF( AND($L37=1,$M37=1,$N37&gt;$O$56 ), 3,
    IF( AND($L37=1,$M37&gt;$O$56 ), 2,
      IF( $L37=1, 1, 0)
  )
) + N("MIL3 tarkistus 1. rivillä, MIL2 tarkistus 2. rivillä, ja lopuksi MIL1 tarkistus.")</f>
        <v>0</v>
      </c>
      <c r="P37" s="217"/>
      <c r="Q37" s="217"/>
      <c r="R37" s="232"/>
      <c r="S37" s="217"/>
      <c r="T37" s="217"/>
      <c r="U37" s="232"/>
      <c r="V37" s="217"/>
      <c r="W37" s="278" t="str">
        <f ca="1">AB37&amp;"-"&amp;COUNTIF($AB$2:$AB37,$AB37)</f>
        <v>1-2-0-6</v>
      </c>
      <c r="X37" s="278" t="s">
        <v>362</v>
      </c>
      <c r="Y37" s="289">
        <f t="shared" ca="1" si="16"/>
        <v>1</v>
      </c>
      <c r="Z37" s="271">
        <v>2</v>
      </c>
      <c r="AA37" s="277">
        <f t="shared" ca="1" si="5"/>
        <v>0</v>
      </c>
      <c r="AB37" s="279" t="str">
        <f t="shared" ca="1" si="8"/>
        <v>1-2-0</v>
      </c>
    </row>
    <row r="38" spans="1:28" x14ac:dyDescent="0.25">
      <c r="A38" s="281" t="s">
        <v>83</v>
      </c>
      <c r="B38" s="281" t="s">
        <v>130</v>
      </c>
      <c r="C38" s="281" t="s">
        <v>363</v>
      </c>
      <c r="D38" s="281" t="s">
        <v>27</v>
      </c>
      <c r="E38" s="281">
        <v>3</v>
      </c>
      <c r="F38" s="222" t="str">
        <f t="shared" si="0"/>
        <v>ARCHITECTURE-33</v>
      </c>
      <c r="G38" s="222">
        <f t="shared" si="1"/>
        <v>2</v>
      </c>
      <c r="H38" s="284">
        <f t="shared" ca="1" si="2"/>
        <v>0</v>
      </c>
      <c r="I38" s="284">
        <f t="shared" ca="1" si="3"/>
        <v>0</v>
      </c>
      <c r="J38" s="287" t="s">
        <v>363</v>
      </c>
      <c r="K38" s="229" t="s">
        <v>47</v>
      </c>
      <c r="L38" s="233">
        <v>1</v>
      </c>
      <c r="M38" s="37">
        <f ca="1">SUMIF($F:$F,CONCATENATE($K38,M$1),$I:$I) / VLOOKUP(CONCATENATE($K38,M$1),$F:$G,2,FALSE)</f>
        <v>0</v>
      </c>
      <c r="N38" s="37">
        <f ca="1">SUMIF($F:$F,CONCATENATE($K38,N$1),$I:$I) / VLOOKUP(CONCATENATE($K38,N$1),$F:$G,2,FALSE)</f>
        <v>0</v>
      </c>
      <c r="O38" s="230">
        <f ca="1">IF( AND($L38=1,$M38=1,$N38&gt;$O$56 ), 3,
    IF( AND($L38=1,$M38&gt;$O$56 ), 2,
      IF( $L38=1, 1, 0)
  )
) + N("MIL3 tarkistus 1. rivillä, MIL2 tarkistus 2. rivillä, ja lopuksi MIL1 tarkistus.")</f>
        <v>1</v>
      </c>
      <c r="P38" s="217"/>
      <c r="Q38" s="217"/>
      <c r="R38" s="232"/>
      <c r="S38" s="217"/>
      <c r="T38" s="217"/>
      <c r="U38" s="232"/>
      <c r="V38" s="217"/>
      <c r="W38" s="278" t="str">
        <f ca="1">AB38&amp;"-"&amp;COUNTIF($AB$2:$AB38,$AB38)</f>
        <v>1-3-0-4</v>
      </c>
      <c r="X38" s="278" t="s">
        <v>363</v>
      </c>
      <c r="Y38" s="289">
        <f t="shared" ca="1" si="16"/>
        <v>1</v>
      </c>
      <c r="Z38" s="271">
        <v>3</v>
      </c>
      <c r="AA38" s="277">
        <f t="shared" ca="1" si="5"/>
        <v>0</v>
      </c>
      <c r="AB38" s="279" t="str">
        <f t="shared" ca="1" si="8"/>
        <v>1-3-0</v>
      </c>
    </row>
    <row r="39" spans="1:28" x14ac:dyDescent="0.25">
      <c r="A39" s="281" t="s">
        <v>83</v>
      </c>
      <c r="B39" s="281" t="s">
        <v>130</v>
      </c>
      <c r="C39" s="281" t="s">
        <v>364</v>
      </c>
      <c r="D39" s="281" t="s">
        <v>28</v>
      </c>
      <c r="E39" s="281">
        <v>3</v>
      </c>
      <c r="F39" s="222" t="str">
        <f t="shared" si="0"/>
        <v>ARCHITECTURE-33</v>
      </c>
      <c r="G39" s="222">
        <f t="shared" si="1"/>
        <v>2</v>
      </c>
      <c r="H39" s="284">
        <f t="shared" ca="1" si="2"/>
        <v>0</v>
      </c>
      <c r="I39" s="284">
        <f t="shared" ca="1" si="3"/>
        <v>0</v>
      </c>
      <c r="J39" s="287" t="s">
        <v>364</v>
      </c>
      <c r="K39" s="229" t="s">
        <v>49</v>
      </c>
      <c r="L39" s="233">
        <v>1</v>
      </c>
      <c r="M39" s="37">
        <f ca="1">SUMIF($F:$F,CONCATENATE($K39,M$1),$I:$I) / VLOOKUP(CONCATENATE($K39,M$1),$F:$G,2,FALSE)</f>
        <v>0</v>
      </c>
      <c r="N39" s="37">
        <f ca="1">SUMIF($F:$F,CONCATENATE($K39,N$1),$I:$I) / VLOOKUP(CONCATENATE($K39,N$1),$F:$G,2,FALSE)</f>
        <v>0</v>
      </c>
      <c r="O39" s="230">
        <f ca="1">IF( AND($L39=1,$M39=1,$N39&gt;$O$56 ), 3,
    IF( AND($L39=1,$M39&gt;$O$56 ), 2,
      IF( $L39=1, 1, 0)
  )
) + N("MIL3 tarkistus 1. rivillä, MIL2 tarkistus 2. rivillä, ja lopuksi MIL1 tarkistus.")</f>
        <v>1</v>
      </c>
      <c r="P39" s="217"/>
      <c r="Q39" s="217"/>
      <c r="R39" s="232"/>
      <c r="S39" s="217"/>
      <c r="T39" s="217"/>
      <c r="U39" s="232"/>
      <c r="V39" s="217"/>
      <c r="W39" s="278" t="str">
        <f ca="1">AB39&amp;"-"&amp;COUNTIF($AB$2:$AB39,$AB39)</f>
        <v>1-3-0-5</v>
      </c>
      <c r="X39" s="278" t="s">
        <v>364</v>
      </c>
      <c r="Y39" s="289">
        <f t="shared" ca="1" si="16"/>
        <v>1</v>
      </c>
      <c r="Z39" s="271">
        <v>3</v>
      </c>
      <c r="AA39" s="277">
        <f t="shared" ca="1" si="5"/>
        <v>0</v>
      </c>
      <c r="AB39" s="279" t="str">
        <f t="shared" ca="1" si="8"/>
        <v>1-3-0</v>
      </c>
    </row>
    <row r="40" spans="1:28" x14ac:dyDescent="0.25">
      <c r="A40" s="281" t="s">
        <v>83</v>
      </c>
      <c r="B40" s="281" t="s">
        <v>133</v>
      </c>
      <c r="C40" s="281" t="s">
        <v>365</v>
      </c>
      <c r="D40" s="281" t="s">
        <v>126</v>
      </c>
      <c r="E40" s="281">
        <v>1</v>
      </c>
      <c r="F40" s="222" t="str">
        <f t="shared" si="0"/>
        <v>ARCHITECTURE-41</v>
      </c>
      <c r="G40" s="222">
        <f t="shared" si="1"/>
        <v>2</v>
      </c>
      <c r="H40" s="284">
        <f t="shared" ca="1" si="2"/>
        <v>0</v>
      </c>
      <c r="I40" s="284">
        <f t="shared" ca="1" si="3"/>
        <v>0</v>
      </c>
      <c r="J40" s="287" t="s">
        <v>365</v>
      </c>
      <c r="K40" s="223" t="s">
        <v>72</v>
      </c>
      <c r="L40" s="223"/>
      <c r="M40" s="223"/>
      <c r="N40" s="223"/>
      <c r="O40" s="224">
        <f ca="1">MIN(O41:O44)</f>
        <v>0</v>
      </c>
      <c r="P40" s="225"/>
      <c r="Q40" s="217"/>
      <c r="R40" s="232"/>
      <c r="S40" s="217"/>
      <c r="T40" s="217"/>
      <c r="U40" s="232"/>
      <c r="V40" s="225"/>
      <c r="W40" s="278" t="str">
        <f ca="1">AB40&amp;"-"&amp;COUNTIF($AB$2:$AB40,$AB40)</f>
        <v>0-1-0-9</v>
      </c>
      <c r="X40" s="278" t="s">
        <v>365</v>
      </c>
      <c r="Y40" s="289">
        <f t="shared" ca="1" si="16"/>
        <v>0</v>
      </c>
      <c r="Z40" s="271">
        <v>1</v>
      </c>
      <c r="AA40" s="277">
        <f t="shared" ca="1" si="5"/>
        <v>0</v>
      </c>
      <c r="AB40" s="279" t="str">
        <f t="shared" ca="1" si="8"/>
        <v>0-1-0</v>
      </c>
    </row>
    <row r="41" spans="1:28" x14ac:dyDescent="0.25">
      <c r="A41" s="281" t="s">
        <v>83</v>
      </c>
      <c r="B41" s="281" t="s">
        <v>133</v>
      </c>
      <c r="C41" s="281" t="s">
        <v>366</v>
      </c>
      <c r="D41" s="281" t="s">
        <v>129</v>
      </c>
      <c r="E41" s="281">
        <v>1</v>
      </c>
      <c r="F41" s="222" t="str">
        <f t="shared" si="0"/>
        <v>ARCHITECTURE-41</v>
      </c>
      <c r="G41" s="222">
        <f t="shared" si="1"/>
        <v>2</v>
      </c>
      <c r="H41" s="284">
        <f t="shared" ca="1" si="2"/>
        <v>0</v>
      </c>
      <c r="I41" s="284">
        <f t="shared" ca="1" si="3"/>
        <v>0</v>
      </c>
      <c r="J41" s="287" t="s">
        <v>366</v>
      </c>
      <c r="K41" s="229" t="s">
        <v>87</v>
      </c>
      <c r="L41" s="37">
        <f t="shared" ref="L41:N42" ca="1" si="17">SUMIF($F:$F,CONCATENATE($K41,L$1),$I:$I) / VLOOKUP(CONCATENATE($K41,L$1),$F:$G,2,FALSE)</f>
        <v>0</v>
      </c>
      <c r="M41" s="37">
        <f t="shared" ca="1" si="17"/>
        <v>0</v>
      </c>
      <c r="N41" s="37">
        <f t="shared" ca="1" si="17"/>
        <v>0</v>
      </c>
      <c r="O41" s="230">
        <f ca="1">IF( AND($L41=1,$M41=1,$N41&gt;$O$56 ), 3,
    IF( AND($L41=1,$M41&gt;$O$56 ), 2,
      IF( $L41=1, 1, 0)
  )
) + N("MIL3 tarkistus 1. rivillä, MIL2 tarkistus 2. rivillä, ja lopuksi MIL1 tarkistus.")</f>
        <v>0</v>
      </c>
      <c r="P41" s="217"/>
      <c r="Q41" s="217"/>
      <c r="R41" s="232"/>
      <c r="S41" s="217"/>
      <c r="T41" s="217"/>
      <c r="U41" s="232"/>
      <c r="V41" s="217"/>
      <c r="W41" s="278" t="str">
        <f ca="1">AB41&amp;"-"&amp;COUNTIF($AB$2:$AB41,$AB41)</f>
        <v>0-1-0-10</v>
      </c>
      <c r="X41" s="278" t="s">
        <v>366</v>
      </c>
      <c r="Y41" s="289">
        <f t="shared" ca="1" si="16"/>
        <v>0</v>
      </c>
      <c r="Z41" s="271">
        <v>1</v>
      </c>
      <c r="AA41" s="277">
        <f t="shared" ca="1" si="5"/>
        <v>0</v>
      </c>
      <c r="AB41" s="279" t="str">
        <f t="shared" ca="1" si="8"/>
        <v>0-1-0</v>
      </c>
    </row>
    <row r="42" spans="1:28" x14ac:dyDescent="0.25">
      <c r="A42" s="281" t="s">
        <v>83</v>
      </c>
      <c r="B42" s="281" t="s">
        <v>133</v>
      </c>
      <c r="C42" s="281" t="s">
        <v>367</v>
      </c>
      <c r="D42" s="281" t="s">
        <v>132</v>
      </c>
      <c r="E42" s="281">
        <v>2</v>
      </c>
      <c r="F42" s="222" t="str">
        <f t="shared" si="0"/>
        <v>ARCHITECTURE-42</v>
      </c>
      <c r="G42" s="222">
        <f t="shared" si="1"/>
        <v>3</v>
      </c>
      <c r="H42" s="284">
        <f t="shared" ca="1" si="2"/>
        <v>0</v>
      </c>
      <c r="I42" s="284">
        <f t="shared" ca="1" si="3"/>
        <v>0</v>
      </c>
      <c r="J42" s="287" t="s">
        <v>367</v>
      </c>
      <c r="K42" s="229" t="s">
        <v>89</v>
      </c>
      <c r="L42" s="37">
        <f t="shared" ca="1" si="17"/>
        <v>0</v>
      </c>
      <c r="M42" s="37">
        <f t="shared" ca="1" si="17"/>
        <v>0</v>
      </c>
      <c r="N42" s="37">
        <f t="shared" ca="1" si="17"/>
        <v>0</v>
      </c>
      <c r="O42" s="230">
        <f ca="1">IF( AND($L42=1,$M42=1,$N42&gt;$O$56 ), 3,
    IF( AND($L42=1,$M42&gt;$O$56 ), 2,
      IF( $L42=1, 1, 0)
  )
) + N("MIL3 tarkistus 1. rivillä, MIL2 tarkistus 2. rivillä, ja lopuksi MIL1 tarkistus.")</f>
        <v>0</v>
      </c>
      <c r="P42" s="217"/>
      <c r="Q42" s="217"/>
      <c r="R42" s="232"/>
      <c r="S42" s="217"/>
      <c r="T42" s="217"/>
      <c r="U42" s="232"/>
      <c r="V42" s="217"/>
      <c r="W42" s="278" t="str">
        <f ca="1">AB42&amp;"-"&amp;COUNTIF($AB$2:$AB42,$AB42)</f>
        <v>0-2-0-13</v>
      </c>
      <c r="X42" s="278" t="s">
        <v>367</v>
      </c>
      <c r="Y42" s="289">
        <f t="shared" ca="1" si="16"/>
        <v>0</v>
      </c>
      <c r="Z42" s="271">
        <v>2</v>
      </c>
      <c r="AA42" s="277">
        <f t="shared" ca="1" si="5"/>
        <v>0</v>
      </c>
      <c r="AB42" s="279" t="str">
        <f t="shared" ca="1" si="8"/>
        <v>0-2-0</v>
      </c>
    </row>
    <row r="43" spans="1:28" x14ac:dyDescent="0.25">
      <c r="A43" s="281" t="s">
        <v>83</v>
      </c>
      <c r="B43" s="281" t="s">
        <v>133</v>
      </c>
      <c r="C43" s="281" t="s">
        <v>368</v>
      </c>
      <c r="D43" s="281" t="s">
        <v>135</v>
      </c>
      <c r="E43" s="281">
        <v>2</v>
      </c>
      <c r="F43" s="222" t="str">
        <f t="shared" si="0"/>
        <v>ARCHITECTURE-42</v>
      </c>
      <c r="G43" s="222">
        <f t="shared" si="1"/>
        <v>3</v>
      </c>
      <c r="H43" s="284">
        <f t="shared" ca="1" si="2"/>
        <v>0</v>
      </c>
      <c r="I43" s="284">
        <f t="shared" ca="1" si="3"/>
        <v>0</v>
      </c>
      <c r="J43" s="287" t="s">
        <v>368</v>
      </c>
      <c r="K43" s="229" t="s">
        <v>91</v>
      </c>
      <c r="L43" s="233">
        <v>1</v>
      </c>
      <c r="M43" s="37">
        <f ca="1">SUMIF($F:$F,CONCATENATE($K43,M$1),$I:$I) / VLOOKUP(CONCATENATE($K43,M$1),$F:$G,2,FALSE)</f>
        <v>0</v>
      </c>
      <c r="N43" s="37">
        <f ca="1">SUMIF($F:$F,CONCATENATE($K43,N$1),$I:$I) / VLOOKUP(CONCATENATE($K43,N$1),$F:$G,2,FALSE)</f>
        <v>0</v>
      </c>
      <c r="O43" s="230">
        <f ca="1">IF( AND($L43=1,$M43=1,$N43&gt;$O$56 ), 3,
    IF( AND($L43=1,$M43&gt;$O$56 ), 2,
      IF( $L43=1, 1, 0)
  )
) + N("MIL3 tarkistus 1. rivillä, MIL2 tarkistus 2. rivillä, ja lopuksi MIL1 tarkistus.")</f>
        <v>1</v>
      </c>
      <c r="P43" s="217"/>
      <c r="Q43" s="217"/>
      <c r="R43" s="232"/>
      <c r="S43" s="217"/>
      <c r="T43" s="217"/>
      <c r="U43" s="232"/>
      <c r="V43" s="217"/>
      <c r="W43" s="278" t="str">
        <f ca="1">AB43&amp;"-"&amp;COUNTIF($AB$2:$AB43,$AB43)</f>
        <v>0-2-0-14</v>
      </c>
      <c r="X43" s="278" t="s">
        <v>368</v>
      </c>
      <c r="Y43" s="289">
        <f t="shared" ca="1" si="16"/>
        <v>0</v>
      </c>
      <c r="Z43" s="271">
        <v>2</v>
      </c>
      <c r="AA43" s="277">
        <f t="shared" ca="1" si="5"/>
        <v>0</v>
      </c>
      <c r="AB43" s="279" t="str">
        <f t="shared" ca="1" si="8"/>
        <v>0-2-0</v>
      </c>
    </row>
    <row r="44" spans="1:28" x14ac:dyDescent="0.25">
      <c r="A44" s="281" t="s">
        <v>83</v>
      </c>
      <c r="B44" s="281" t="s">
        <v>133</v>
      </c>
      <c r="C44" s="281" t="s">
        <v>369</v>
      </c>
      <c r="D44" s="281" t="s">
        <v>138</v>
      </c>
      <c r="E44" s="281">
        <v>2</v>
      </c>
      <c r="F44" s="222" t="str">
        <f t="shared" si="0"/>
        <v>ARCHITECTURE-42</v>
      </c>
      <c r="G44" s="222">
        <f t="shared" si="1"/>
        <v>3</v>
      </c>
      <c r="H44" s="284">
        <f t="shared" ca="1" si="2"/>
        <v>0</v>
      </c>
      <c r="I44" s="284">
        <f t="shared" ca="1" si="3"/>
        <v>0</v>
      </c>
      <c r="J44" s="287" t="s">
        <v>369</v>
      </c>
      <c r="K44" s="229" t="s">
        <v>93</v>
      </c>
      <c r="L44" s="233">
        <v>1</v>
      </c>
      <c r="M44" s="37">
        <f ca="1">SUMIF($F:$F,CONCATENATE($K44,M$1),$I:$I) / VLOOKUP(CONCATENATE($K44,M$1),$F:$G,2,FALSE)</f>
        <v>0</v>
      </c>
      <c r="N44" s="37">
        <f ca="1">SUMIF($F:$F,CONCATENATE($K44,N$1),$I:$I) / VLOOKUP(CONCATENATE($K44,N$1),$F:$G,2,FALSE)</f>
        <v>0</v>
      </c>
      <c r="O44" s="230">
        <f ca="1">IF( AND($L44=1,$M44=1,$N44&gt;$O$56 ), 3,
    IF( AND($L44=1,$M44&gt;$O$56 ), 2,
      IF( $L44=1, 1, 0)
  )
) + N("MIL3 tarkistus 1. rivillä, MIL2 tarkistus 2. rivillä, ja lopuksi MIL1 tarkistus.")</f>
        <v>1</v>
      </c>
      <c r="P44" s="217"/>
      <c r="Q44" s="217"/>
      <c r="R44" s="232"/>
      <c r="S44" s="217"/>
      <c r="T44" s="217"/>
      <c r="U44" s="232"/>
      <c r="V44" s="217"/>
      <c r="W44" s="278" t="str">
        <f ca="1">AB44&amp;"-"&amp;COUNTIF($AB$2:$AB44,$AB44)</f>
        <v>0-2-0-15</v>
      </c>
      <c r="X44" s="278" t="s">
        <v>369</v>
      </c>
      <c r="Y44" s="289">
        <f t="shared" ca="1" si="16"/>
        <v>0</v>
      </c>
      <c r="Z44" s="271">
        <v>2</v>
      </c>
      <c r="AA44" s="277">
        <f t="shared" ca="1" si="5"/>
        <v>0</v>
      </c>
      <c r="AB44" s="279" t="str">
        <f t="shared" ca="1" si="8"/>
        <v>0-2-0</v>
      </c>
    </row>
    <row r="45" spans="1:28" x14ac:dyDescent="0.25">
      <c r="A45" s="281" t="s">
        <v>83</v>
      </c>
      <c r="B45" s="281" t="s">
        <v>133</v>
      </c>
      <c r="C45" s="281" t="s">
        <v>370</v>
      </c>
      <c r="D45" s="281" t="s">
        <v>140</v>
      </c>
      <c r="E45" s="281">
        <v>3</v>
      </c>
      <c r="F45" s="222" t="str">
        <f t="shared" si="0"/>
        <v>ARCHITECTURE-43</v>
      </c>
      <c r="G45" s="222">
        <f t="shared" si="1"/>
        <v>4</v>
      </c>
      <c r="H45" s="284">
        <f t="shared" ca="1" si="2"/>
        <v>0</v>
      </c>
      <c r="I45" s="284">
        <f t="shared" ca="1" si="3"/>
        <v>0</v>
      </c>
      <c r="J45" s="287" t="s">
        <v>370</v>
      </c>
      <c r="K45" s="223" t="s">
        <v>69</v>
      </c>
      <c r="L45" s="223"/>
      <c r="M45" s="223"/>
      <c r="N45" s="223"/>
      <c r="O45" s="224">
        <f ca="1">MIN(O46:O48)</f>
        <v>0</v>
      </c>
      <c r="P45" s="225"/>
      <c r="Q45" s="217"/>
      <c r="R45" s="232"/>
      <c r="S45" s="217"/>
      <c r="T45" s="217"/>
      <c r="U45" s="232"/>
      <c r="V45" s="225"/>
      <c r="W45" s="278" t="str">
        <f ca="1">AB45&amp;"-"&amp;COUNTIF($AB$2:$AB45,$AB45)</f>
        <v>0-3-0-8</v>
      </c>
      <c r="X45" s="278" t="s">
        <v>370</v>
      </c>
      <c r="Y45" s="289">
        <f t="shared" ca="1" si="16"/>
        <v>0</v>
      </c>
      <c r="Z45" s="271">
        <v>3</v>
      </c>
      <c r="AA45" s="277">
        <f t="shared" ca="1" si="5"/>
        <v>0</v>
      </c>
      <c r="AB45" s="279" t="str">
        <f t="shared" ca="1" si="8"/>
        <v>0-3-0</v>
      </c>
    </row>
    <row r="46" spans="1:28" x14ac:dyDescent="0.25">
      <c r="A46" s="281" t="s">
        <v>83</v>
      </c>
      <c r="B46" s="281" t="s">
        <v>133</v>
      </c>
      <c r="C46" s="281" t="s">
        <v>371</v>
      </c>
      <c r="D46" s="281" t="s">
        <v>255</v>
      </c>
      <c r="E46" s="281">
        <v>3</v>
      </c>
      <c r="F46" s="222" t="str">
        <f t="shared" si="0"/>
        <v>ARCHITECTURE-43</v>
      </c>
      <c r="G46" s="222">
        <f t="shared" si="1"/>
        <v>4</v>
      </c>
      <c r="H46" s="284">
        <f t="shared" ca="1" si="2"/>
        <v>0</v>
      </c>
      <c r="I46" s="284">
        <f t="shared" ca="1" si="3"/>
        <v>0</v>
      </c>
      <c r="J46" s="287" t="s">
        <v>371</v>
      </c>
      <c r="K46" s="229" t="s">
        <v>76</v>
      </c>
      <c r="L46" s="37">
        <f t="shared" ref="L46:N47" ca="1" si="18">SUMIF($F:$F,CONCATENATE($K46,L$1),$I:$I) / VLOOKUP(CONCATENATE($K46,L$1),$F:$G,2,FALSE)</f>
        <v>0</v>
      </c>
      <c r="M46" s="37">
        <f t="shared" ca="1" si="18"/>
        <v>0</v>
      </c>
      <c r="N46" s="37">
        <f t="shared" ca="1" si="18"/>
        <v>0</v>
      </c>
      <c r="O46" s="230">
        <f ca="1">IF( AND($L46=1,$M46=1,$N46&gt;$O$56 ), 3,
    IF( AND($L46=1,$M46&gt;$O$56 ), 2,
      IF( $L46=1, 1, 0)
  )
) + N("MIL3 tarkistus 1. rivillä, MIL2 tarkistus 2. rivillä, ja lopuksi MIL1 tarkistus.")</f>
        <v>0</v>
      </c>
      <c r="P46" s="217"/>
      <c r="Q46" s="217"/>
      <c r="R46" s="232"/>
      <c r="S46" s="217"/>
      <c r="T46" s="217"/>
      <c r="U46" s="232"/>
      <c r="V46" s="217"/>
      <c r="W46" s="278" t="str">
        <f ca="1">AB46&amp;"-"&amp;COUNTIF($AB$2:$AB46,$AB46)</f>
        <v>0-3-0-9</v>
      </c>
      <c r="X46" s="278" t="s">
        <v>371</v>
      </c>
      <c r="Y46" s="289">
        <f t="shared" ca="1" si="16"/>
        <v>0</v>
      </c>
      <c r="Z46" s="271">
        <v>3</v>
      </c>
      <c r="AA46" s="277">
        <f t="shared" ca="1" si="5"/>
        <v>0</v>
      </c>
      <c r="AB46" s="279" t="str">
        <f t="shared" ca="1" si="8"/>
        <v>0-3-0</v>
      </c>
    </row>
    <row r="47" spans="1:28" x14ac:dyDescent="0.25">
      <c r="A47" s="281" t="s">
        <v>83</v>
      </c>
      <c r="B47" s="281" t="s">
        <v>133</v>
      </c>
      <c r="C47" s="281" t="s">
        <v>372</v>
      </c>
      <c r="D47" s="281" t="s">
        <v>373</v>
      </c>
      <c r="E47" s="281">
        <v>3</v>
      </c>
      <c r="F47" s="222" t="str">
        <f t="shared" si="0"/>
        <v>ARCHITECTURE-43</v>
      </c>
      <c r="G47" s="222">
        <f t="shared" si="1"/>
        <v>4</v>
      </c>
      <c r="H47" s="284">
        <f t="shared" ca="1" si="2"/>
        <v>0</v>
      </c>
      <c r="I47" s="284">
        <f t="shared" ca="1" si="3"/>
        <v>0</v>
      </c>
      <c r="J47" s="287" t="s">
        <v>372</v>
      </c>
      <c r="K47" s="229" t="s">
        <v>79</v>
      </c>
      <c r="L47" s="37">
        <f t="shared" ca="1" si="18"/>
        <v>0</v>
      </c>
      <c r="M47" s="37">
        <f t="shared" ca="1" si="18"/>
        <v>0</v>
      </c>
      <c r="N47" s="37">
        <f t="shared" ca="1" si="18"/>
        <v>0</v>
      </c>
      <c r="O47" s="230">
        <f ca="1">IF( AND($L47=1,$M47=1,$N47&gt;$O$56 ), 3,
    IF( AND($L47=1,$M47&gt;$O$56 ), 2,
      IF( $L47=1, 1, 0)
  )
) + N("MIL3 tarkistus 1. rivillä, MIL2 tarkistus 2. rivillä, ja lopuksi MIL1 tarkistus.")</f>
        <v>0</v>
      </c>
      <c r="P47" s="217"/>
      <c r="Q47" s="217"/>
      <c r="R47" s="232"/>
      <c r="S47" s="217"/>
      <c r="T47" s="217"/>
      <c r="U47" s="232"/>
      <c r="V47" s="217"/>
      <c r="W47" s="278" t="str">
        <f ca="1">AB47&amp;"-"&amp;COUNTIF($AB$2:$AB47,$AB47)</f>
        <v>0-3-0-10</v>
      </c>
      <c r="X47" s="278" t="s">
        <v>372</v>
      </c>
      <c r="Y47" s="289">
        <f t="shared" ca="1" si="16"/>
        <v>0</v>
      </c>
      <c r="Z47" s="271">
        <v>3</v>
      </c>
      <c r="AA47" s="277">
        <f t="shared" ca="1" si="5"/>
        <v>0</v>
      </c>
      <c r="AB47" s="279" t="str">
        <f t="shared" ca="1" si="8"/>
        <v>0-3-0</v>
      </c>
    </row>
    <row r="48" spans="1:28" x14ac:dyDescent="0.25">
      <c r="A48" s="281" t="s">
        <v>83</v>
      </c>
      <c r="B48" s="281" t="s">
        <v>133</v>
      </c>
      <c r="C48" s="281" t="s">
        <v>374</v>
      </c>
      <c r="D48" s="281" t="s">
        <v>375</v>
      </c>
      <c r="E48" s="281">
        <v>3</v>
      </c>
      <c r="F48" s="222" t="str">
        <f t="shared" si="0"/>
        <v>ARCHITECTURE-43</v>
      </c>
      <c r="G48" s="222">
        <f t="shared" si="1"/>
        <v>4</v>
      </c>
      <c r="H48" s="284">
        <f t="shared" ca="1" si="2"/>
        <v>0</v>
      </c>
      <c r="I48" s="284">
        <f t="shared" ca="1" si="3"/>
        <v>0</v>
      </c>
      <c r="J48" s="287" t="s">
        <v>374</v>
      </c>
      <c r="K48" s="229" t="s">
        <v>82</v>
      </c>
      <c r="L48" s="233">
        <v>1</v>
      </c>
      <c r="M48" s="37">
        <f ca="1">SUMIF($F:$F,CONCATENATE($K48,M$1),$I:$I) / VLOOKUP(CONCATENATE($K48,M$1),$F:$G,2,FALSE)</f>
        <v>0</v>
      </c>
      <c r="N48" s="37">
        <f ca="1">SUMIF($F:$F,CONCATENATE($K48,N$1),$I:$I) / VLOOKUP(CONCATENATE($K48,N$1),$F:$G,2,FALSE)</f>
        <v>0</v>
      </c>
      <c r="O48" s="230">
        <f ca="1">IF( AND($L48=1,$M48=1,$N48&gt;$O$56 ), 3,
    IF( AND($L48=1,$M48&gt;$O$56 ), 2,
      IF( $L48=1, 1, 0)
  )
) + N("MIL3 tarkistus 1. rivillä, MIL2 tarkistus 2. rivillä, ja lopuksi MIL1 tarkistus.")</f>
        <v>1</v>
      </c>
      <c r="P48" s="217"/>
      <c r="Q48" s="217"/>
      <c r="R48" s="217"/>
      <c r="S48" s="217"/>
      <c r="T48" s="217"/>
      <c r="U48" s="232"/>
      <c r="V48" s="217"/>
      <c r="W48" s="278" t="str">
        <f ca="1">AB48&amp;"-"&amp;COUNTIF($AB$2:$AB48,$AB48)</f>
        <v>0-3-0-11</v>
      </c>
      <c r="X48" s="278" t="s">
        <v>374</v>
      </c>
      <c r="Y48" s="289">
        <f t="shared" ca="1" si="16"/>
        <v>0</v>
      </c>
      <c r="Z48" s="271">
        <v>3</v>
      </c>
      <c r="AA48" s="277">
        <f t="shared" ca="1" si="5"/>
        <v>0</v>
      </c>
      <c r="AB48" s="279" t="str">
        <f t="shared" ca="1" si="8"/>
        <v>0-3-0</v>
      </c>
    </row>
    <row r="49" spans="1:28" x14ac:dyDescent="0.25">
      <c r="A49" s="281" t="s">
        <v>83</v>
      </c>
      <c r="B49" s="281" t="s">
        <v>136</v>
      </c>
      <c r="C49" s="281" t="s">
        <v>376</v>
      </c>
      <c r="D49" s="281" t="s">
        <v>143</v>
      </c>
      <c r="E49" s="281">
        <v>2</v>
      </c>
      <c r="F49" s="222" t="str">
        <f t="shared" si="0"/>
        <v>ARCHITECTURE-52</v>
      </c>
      <c r="G49" s="222">
        <f t="shared" si="1"/>
        <v>4</v>
      </c>
      <c r="H49" s="284">
        <f t="shared" ca="1" si="2"/>
        <v>0</v>
      </c>
      <c r="I49" s="284">
        <f t="shared" ca="1" si="3"/>
        <v>0</v>
      </c>
      <c r="J49" s="287" t="s">
        <v>376</v>
      </c>
      <c r="K49" s="223" t="s">
        <v>80</v>
      </c>
      <c r="L49" s="223"/>
      <c r="M49" s="223"/>
      <c r="N49" s="223"/>
      <c r="O49" s="224">
        <f ca="1">MIN(O50:O54)</f>
        <v>0</v>
      </c>
      <c r="P49" s="225"/>
      <c r="Q49" s="217"/>
      <c r="R49" s="217"/>
      <c r="S49" s="217"/>
      <c r="T49" s="217"/>
      <c r="U49" s="217"/>
      <c r="V49" s="225"/>
      <c r="W49" s="278" t="str">
        <f ca="1">AB49&amp;"-"&amp;COUNTIF($AB$2:$AB49,$AB49)</f>
        <v>1-2-0-7</v>
      </c>
      <c r="X49" s="278" t="s">
        <v>376</v>
      </c>
      <c r="Y49" s="289">
        <f t="shared" ca="1" si="16"/>
        <v>1</v>
      </c>
      <c r="Z49" s="271">
        <v>2</v>
      </c>
      <c r="AA49" s="277">
        <f t="shared" ca="1" si="5"/>
        <v>0</v>
      </c>
      <c r="AB49" s="279" t="str">
        <f t="shared" ca="1" si="8"/>
        <v>1-2-0</v>
      </c>
    </row>
    <row r="50" spans="1:28" x14ac:dyDescent="0.25">
      <c r="A50" s="281" t="s">
        <v>83</v>
      </c>
      <c r="B50" s="281" t="s">
        <v>136</v>
      </c>
      <c r="C50" s="281" t="s">
        <v>377</v>
      </c>
      <c r="D50" s="281" t="s">
        <v>146</v>
      </c>
      <c r="E50" s="281">
        <v>2</v>
      </c>
      <c r="F50" s="222" t="str">
        <f t="shared" si="0"/>
        <v>ARCHITECTURE-52</v>
      </c>
      <c r="G50" s="222">
        <f t="shared" si="1"/>
        <v>4</v>
      </c>
      <c r="H50" s="284">
        <f t="shared" ca="1" si="2"/>
        <v>0</v>
      </c>
      <c r="I50" s="284">
        <f t="shared" ca="1" si="3"/>
        <v>0</v>
      </c>
      <c r="J50" s="287" t="s">
        <v>377</v>
      </c>
      <c r="K50" s="229" t="s">
        <v>113</v>
      </c>
      <c r="L50" s="37">
        <f t="shared" ref="L50:N53" ca="1" si="19">SUMIF($F:$F,CONCATENATE($K50,L$1),$I:$I) / VLOOKUP(CONCATENATE($K50,L$1),$F:$G,2,FALSE)</f>
        <v>0</v>
      </c>
      <c r="M50" s="37">
        <f t="shared" ca="1" si="19"/>
        <v>0</v>
      </c>
      <c r="N50" s="37">
        <f t="shared" ca="1" si="19"/>
        <v>0</v>
      </c>
      <c r="O50" s="230">
        <f ca="1">IF( AND($L50=1,$M50=1,$N50&gt;$O$56 ), 3,
    IF( AND($L50=1,$M50&gt;$O$56 ), 2,
      IF( $L50=1, 1, 0)
  )
) + N("MIL3 tarkistus 1. rivillä, MIL2 tarkistus 2. rivillä, ja lopuksi MIL1 tarkistus.")</f>
        <v>0</v>
      </c>
      <c r="P50" s="217"/>
      <c r="Q50" s="217"/>
      <c r="R50" s="217"/>
      <c r="S50" s="217"/>
      <c r="T50" s="217"/>
      <c r="U50" s="217"/>
      <c r="V50" s="217"/>
      <c r="W50" s="278" t="str">
        <f ca="1">AB50&amp;"-"&amp;COUNTIF($AB$2:$AB50,$AB50)</f>
        <v>1-2-0-8</v>
      </c>
      <c r="X50" s="278" t="s">
        <v>377</v>
      </c>
      <c r="Y50" s="289">
        <f t="shared" ca="1" si="16"/>
        <v>1</v>
      </c>
      <c r="Z50" s="271">
        <v>2</v>
      </c>
      <c r="AA50" s="277">
        <f t="shared" ca="1" si="5"/>
        <v>0</v>
      </c>
      <c r="AB50" s="279" t="str">
        <f t="shared" ca="1" si="8"/>
        <v>1-2-0</v>
      </c>
    </row>
    <row r="51" spans="1:28" x14ac:dyDescent="0.25">
      <c r="A51" s="281" t="s">
        <v>83</v>
      </c>
      <c r="B51" s="281" t="s">
        <v>136</v>
      </c>
      <c r="C51" s="281" t="s">
        <v>378</v>
      </c>
      <c r="D51" s="281" t="s">
        <v>149</v>
      </c>
      <c r="E51" s="281">
        <v>2</v>
      </c>
      <c r="F51" s="222" t="str">
        <f t="shared" si="0"/>
        <v>ARCHITECTURE-52</v>
      </c>
      <c r="G51" s="222">
        <f t="shared" si="1"/>
        <v>4</v>
      </c>
      <c r="H51" s="284">
        <f t="shared" ca="1" si="2"/>
        <v>0</v>
      </c>
      <c r="I51" s="284">
        <f t="shared" ca="1" si="3"/>
        <v>0</v>
      </c>
      <c r="J51" s="287" t="s">
        <v>378</v>
      </c>
      <c r="K51" s="229" t="s">
        <v>115</v>
      </c>
      <c r="L51" s="37">
        <f t="shared" ca="1" si="19"/>
        <v>0</v>
      </c>
      <c r="M51" s="37">
        <f t="shared" ca="1" si="19"/>
        <v>0</v>
      </c>
      <c r="N51" s="37">
        <f t="shared" ca="1" si="19"/>
        <v>0</v>
      </c>
      <c r="O51" s="230">
        <f ca="1">IF( AND($L51=1,$M51=1,$N51&gt;$O$56 ), 3,
    IF( AND($L51=1,$M51&gt;$O$56 ), 2,
      IF( $L51=1, 1, 0)
  )
) + N("MIL3 tarkistus 1. rivillä, MIL2 tarkistus 2. rivillä, ja lopuksi MIL1 tarkistus.")</f>
        <v>0</v>
      </c>
      <c r="P51" s="217"/>
      <c r="Q51" s="217"/>
      <c r="R51" s="217"/>
      <c r="S51" s="217"/>
      <c r="T51" s="217"/>
      <c r="U51" s="217"/>
      <c r="V51" s="217"/>
      <c r="W51" s="278" t="str">
        <f ca="1">AB51&amp;"-"&amp;COUNTIF($AB$2:$AB51,$AB51)</f>
        <v>1-2-0-9</v>
      </c>
      <c r="X51" s="278" t="s">
        <v>378</v>
      </c>
      <c r="Y51" s="289">
        <f t="shared" ca="1" si="16"/>
        <v>1</v>
      </c>
      <c r="Z51" s="271">
        <v>2</v>
      </c>
      <c r="AA51" s="277">
        <f t="shared" ca="1" si="5"/>
        <v>0</v>
      </c>
      <c r="AB51" s="279" t="str">
        <f t="shared" ca="1" si="8"/>
        <v>1-2-0</v>
      </c>
    </row>
    <row r="52" spans="1:28" x14ac:dyDescent="0.25">
      <c r="A52" s="281" t="s">
        <v>83</v>
      </c>
      <c r="B52" s="281" t="s">
        <v>136</v>
      </c>
      <c r="C52" s="281" t="s">
        <v>379</v>
      </c>
      <c r="D52" s="281" t="s">
        <v>152</v>
      </c>
      <c r="E52" s="281">
        <v>2</v>
      </c>
      <c r="F52" s="222" t="str">
        <f t="shared" si="0"/>
        <v>ARCHITECTURE-52</v>
      </c>
      <c r="G52" s="222">
        <f t="shared" si="1"/>
        <v>4</v>
      </c>
      <c r="H52" s="284">
        <f t="shared" ca="1" si="2"/>
        <v>0</v>
      </c>
      <c r="I52" s="284">
        <f t="shared" ca="1" si="3"/>
        <v>0</v>
      </c>
      <c r="J52" s="287" t="s">
        <v>379</v>
      </c>
      <c r="K52" s="229" t="s">
        <v>117</v>
      </c>
      <c r="L52" s="37">
        <f t="shared" ca="1" si="19"/>
        <v>0</v>
      </c>
      <c r="M52" s="37">
        <f t="shared" ca="1" si="19"/>
        <v>0</v>
      </c>
      <c r="N52" s="37">
        <f t="shared" ca="1" si="19"/>
        <v>0</v>
      </c>
      <c r="O52" s="230">
        <f ca="1">IF( AND($L52=1,$M52=1,$N52&gt;$O$56 ), 3,
    IF( AND($L52=1,$M52&gt;$O$56 ), 2,
      IF( $L52=1, 1, 0)
  )
) + N("MIL3 tarkistus 1. rivillä, MIL2 tarkistus 2. rivillä, ja lopuksi MIL1 tarkistus.")</f>
        <v>0</v>
      </c>
      <c r="P52" s="217"/>
      <c r="Q52" s="217"/>
      <c r="R52" s="217"/>
      <c r="S52" s="217"/>
      <c r="T52" s="217"/>
      <c r="U52" s="217"/>
      <c r="V52" s="217"/>
      <c r="W52" s="278" t="str">
        <f ca="1">AB52&amp;"-"&amp;COUNTIF($AB$2:$AB52,$AB52)</f>
        <v>1-2-0-10</v>
      </c>
      <c r="X52" s="278" t="s">
        <v>379</v>
      </c>
      <c r="Y52" s="289">
        <f t="shared" ca="1" si="16"/>
        <v>1</v>
      </c>
      <c r="Z52" s="271">
        <v>2</v>
      </c>
      <c r="AA52" s="277">
        <f t="shared" ca="1" si="5"/>
        <v>0</v>
      </c>
      <c r="AB52" s="279" t="str">
        <f t="shared" ca="1" si="8"/>
        <v>1-2-0</v>
      </c>
    </row>
    <row r="53" spans="1:28" x14ac:dyDescent="0.25">
      <c r="A53" s="281" t="s">
        <v>83</v>
      </c>
      <c r="B53" s="281" t="s">
        <v>136</v>
      </c>
      <c r="C53" s="281" t="s">
        <v>380</v>
      </c>
      <c r="D53" s="281" t="s">
        <v>154</v>
      </c>
      <c r="E53" s="281">
        <v>3</v>
      </c>
      <c r="F53" s="222" t="str">
        <f t="shared" si="0"/>
        <v>ARCHITECTURE-53</v>
      </c>
      <c r="G53" s="222">
        <f t="shared" si="1"/>
        <v>3</v>
      </c>
      <c r="H53" s="284">
        <f t="shared" ca="1" si="2"/>
        <v>0</v>
      </c>
      <c r="I53" s="284">
        <f t="shared" ca="1" si="3"/>
        <v>0</v>
      </c>
      <c r="J53" s="287" t="s">
        <v>380</v>
      </c>
      <c r="K53" s="229" t="s">
        <v>119</v>
      </c>
      <c r="L53" s="37">
        <f t="shared" ca="1" si="19"/>
        <v>0</v>
      </c>
      <c r="M53" s="37">
        <f t="shared" ca="1" si="19"/>
        <v>0</v>
      </c>
      <c r="N53" s="37">
        <f t="shared" ca="1" si="19"/>
        <v>0</v>
      </c>
      <c r="O53" s="230">
        <f ca="1">IF( AND($L53=1,$M53=1,$N53&gt;$O$56 ), 3,
    IF( AND($L53=1,$M53&gt;$O$56 ), 2,
      IF( $L53=1, 1, 0)
  )
) + N("MIL3 tarkistus 1. rivillä, MIL2 tarkistus 2. rivillä, ja lopuksi MIL1 tarkistus.")</f>
        <v>0</v>
      </c>
      <c r="P53" s="217"/>
      <c r="Q53" s="217"/>
      <c r="R53" s="217"/>
      <c r="S53" s="217"/>
      <c r="T53" s="217"/>
      <c r="U53" s="217"/>
      <c r="V53" s="217"/>
      <c r="W53" s="278" t="str">
        <f ca="1">AB53&amp;"-"&amp;COUNTIF($AB$2:$AB53,$AB53)</f>
        <v>1-3-0-6</v>
      </c>
      <c r="X53" s="278" t="s">
        <v>380</v>
      </c>
      <c r="Y53" s="289">
        <f t="shared" ca="1" si="16"/>
        <v>1</v>
      </c>
      <c r="Z53" s="271">
        <v>3</v>
      </c>
      <c r="AA53" s="277">
        <f t="shared" ca="1" si="5"/>
        <v>0</v>
      </c>
      <c r="AB53" s="279" t="str">
        <f t="shared" ca="1" si="8"/>
        <v>1-3-0</v>
      </c>
    </row>
    <row r="54" spans="1:28" x14ac:dyDescent="0.25">
      <c r="A54" s="281" t="s">
        <v>83</v>
      </c>
      <c r="B54" s="281" t="s">
        <v>136</v>
      </c>
      <c r="C54" s="281" t="s">
        <v>381</v>
      </c>
      <c r="D54" s="281" t="s">
        <v>156</v>
      </c>
      <c r="E54" s="281">
        <v>3</v>
      </c>
      <c r="F54" s="222" t="str">
        <f t="shared" si="0"/>
        <v>ARCHITECTURE-53</v>
      </c>
      <c r="G54" s="222">
        <f t="shared" si="1"/>
        <v>3</v>
      </c>
      <c r="H54" s="284">
        <f t="shared" ca="1" si="2"/>
        <v>0</v>
      </c>
      <c r="I54" s="284">
        <f t="shared" ca="1" si="3"/>
        <v>0</v>
      </c>
      <c r="J54" s="287" t="s">
        <v>381</v>
      </c>
      <c r="K54" s="229" t="s">
        <v>121</v>
      </c>
      <c r="L54" s="233">
        <v>1</v>
      </c>
      <c r="M54" s="37">
        <f ca="1">SUMIF($F:$F,CONCATENATE($K54,M$1),$I:$I) / VLOOKUP(CONCATENATE($K54,M$1),$F:$G,2,FALSE)</f>
        <v>0</v>
      </c>
      <c r="N54" s="37">
        <f ca="1">SUMIF($F:$F,CONCATENATE($K54,N$1),$I:$I) / VLOOKUP(CONCATENATE($K54,N$1),$F:$G,2,FALSE)</f>
        <v>0</v>
      </c>
      <c r="O54" s="230">
        <f ca="1">IF( AND($L54=1,$M54=1,$N54&gt;$O$56 ), 3,
    IF( AND($L54=1,$M54&gt;$O$56 ), 2,
      IF( $L54=1, 1, 0)
  )
) + N("MIL3 tarkistus 1. rivillä, MIL2 tarkistus 2. rivillä, ja lopuksi MIL1 tarkistus.")</f>
        <v>1</v>
      </c>
      <c r="P54" s="217"/>
      <c r="Q54" s="217"/>
      <c r="R54" s="217"/>
      <c r="S54" s="217"/>
      <c r="T54" s="217"/>
      <c r="U54" s="217"/>
      <c r="V54" s="217"/>
      <c r="W54" s="278" t="str">
        <f ca="1">AB54&amp;"-"&amp;COUNTIF($AB$2:$AB54,$AB54)</f>
        <v>1-3-0-7</v>
      </c>
      <c r="X54" s="278" t="s">
        <v>381</v>
      </c>
      <c r="Y54" s="289">
        <f t="shared" ca="1" si="16"/>
        <v>1</v>
      </c>
      <c r="Z54" s="271">
        <v>3</v>
      </c>
      <c r="AA54" s="277">
        <f t="shared" ca="1" si="5"/>
        <v>0</v>
      </c>
      <c r="AB54" s="279" t="str">
        <f t="shared" ca="1" si="8"/>
        <v>1-3-0</v>
      </c>
    </row>
    <row r="55" spans="1:28" ht="12" thickBot="1" x14ac:dyDescent="0.3">
      <c r="A55" s="281" t="s">
        <v>83</v>
      </c>
      <c r="B55" s="281" t="s">
        <v>136</v>
      </c>
      <c r="C55" s="281" t="s">
        <v>382</v>
      </c>
      <c r="D55" s="281" t="s">
        <v>159</v>
      </c>
      <c r="E55" s="281">
        <v>3</v>
      </c>
      <c r="F55" s="222" t="str">
        <f t="shared" si="0"/>
        <v>ARCHITECTURE-53</v>
      </c>
      <c r="G55" s="222">
        <f t="shared" si="1"/>
        <v>3</v>
      </c>
      <c r="H55" s="284">
        <f t="shared" ca="1" si="2"/>
        <v>0</v>
      </c>
      <c r="I55" s="284">
        <f t="shared" ca="1" si="3"/>
        <v>0</v>
      </c>
      <c r="J55" s="287" t="s">
        <v>382</v>
      </c>
      <c r="W55" s="278" t="str">
        <f ca="1">AB55&amp;"-"&amp;COUNTIF($AB$2:$AB55,$AB55)</f>
        <v>1-3-0-8</v>
      </c>
      <c r="X55" s="278" t="s">
        <v>382</v>
      </c>
      <c r="Y55" s="289">
        <f t="shared" ca="1" si="16"/>
        <v>1</v>
      </c>
      <c r="Z55" s="271">
        <v>3</v>
      </c>
      <c r="AA55" s="277">
        <f t="shared" ca="1" si="5"/>
        <v>0</v>
      </c>
      <c r="AB55" s="279" t="str">
        <f t="shared" ca="1" si="8"/>
        <v>1-3-0</v>
      </c>
    </row>
    <row r="56" spans="1:28" ht="12" thickBot="1" x14ac:dyDescent="0.3">
      <c r="A56" s="281" t="s">
        <v>51</v>
      </c>
      <c r="B56" s="281" t="s">
        <v>53</v>
      </c>
      <c r="C56" s="281" t="s">
        <v>92</v>
      </c>
      <c r="D56" s="281" t="s">
        <v>7</v>
      </c>
      <c r="E56" s="281">
        <v>1</v>
      </c>
      <c r="F56" s="222" t="str">
        <f t="shared" si="0"/>
        <v>ASSET-11</v>
      </c>
      <c r="G56" s="222">
        <f t="shared" si="1"/>
        <v>1</v>
      </c>
      <c r="H56" s="284">
        <f t="shared" ca="1" si="2"/>
        <v>0</v>
      </c>
      <c r="I56" s="284">
        <f t="shared" ca="1" si="3"/>
        <v>0</v>
      </c>
      <c r="J56" s="287" t="s">
        <v>92</v>
      </c>
      <c r="O56" s="260">
        <f>Parameters!B3</f>
        <v>0.5</v>
      </c>
      <c r="Q56" s="243"/>
      <c r="R56" s="243"/>
      <c r="S56" s="243"/>
      <c r="T56" s="243"/>
      <c r="U56" s="243"/>
      <c r="V56" s="243"/>
      <c r="W56" s="278" t="str">
        <f ca="1">AB56&amp;"-"&amp;COUNTIF($AB$2:$AB56,$AB56)</f>
        <v>0-1-0-11</v>
      </c>
      <c r="X56" s="278" t="s">
        <v>92</v>
      </c>
      <c r="Y56" s="289">
        <f t="shared" ca="1" si="16"/>
        <v>0</v>
      </c>
      <c r="Z56" s="271">
        <v>1</v>
      </c>
      <c r="AA56" s="277">
        <f t="shared" ca="1" si="5"/>
        <v>0</v>
      </c>
      <c r="AB56" s="279" t="str">
        <f t="shared" ca="1" si="8"/>
        <v>0-1-0</v>
      </c>
    </row>
    <row r="57" spans="1:28" x14ac:dyDescent="0.25">
      <c r="A57" s="281" t="s">
        <v>51</v>
      </c>
      <c r="B57" s="281" t="s">
        <v>53</v>
      </c>
      <c r="C57" s="281" t="s">
        <v>94</v>
      </c>
      <c r="D57" s="281" t="s">
        <v>9</v>
      </c>
      <c r="E57" s="281">
        <v>2</v>
      </c>
      <c r="F57" s="222" t="str">
        <f t="shared" si="0"/>
        <v>ASSET-12</v>
      </c>
      <c r="G57" s="222">
        <f t="shared" si="1"/>
        <v>2</v>
      </c>
      <c r="H57" s="284">
        <f t="shared" ca="1" si="2"/>
        <v>0</v>
      </c>
      <c r="I57" s="284">
        <f t="shared" ca="1" si="3"/>
        <v>0</v>
      </c>
      <c r="J57" s="287" t="s">
        <v>94</v>
      </c>
      <c r="O57" s="288" t="s">
        <v>1615</v>
      </c>
      <c r="W57" s="278" t="str">
        <f ca="1">AB57&amp;"-"&amp;COUNTIF($AB$2:$AB57,$AB57)</f>
        <v>0-2-0-16</v>
      </c>
      <c r="X57" s="278" t="s">
        <v>94</v>
      </c>
      <c r="Y57" s="289">
        <f t="shared" ca="1" si="16"/>
        <v>0</v>
      </c>
      <c r="Z57" s="271">
        <v>2</v>
      </c>
      <c r="AA57" s="277">
        <f t="shared" ca="1" si="5"/>
        <v>0</v>
      </c>
      <c r="AB57" s="279" t="str">
        <f t="shared" ca="1" si="8"/>
        <v>0-2-0</v>
      </c>
    </row>
    <row r="58" spans="1:28" x14ac:dyDescent="0.25">
      <c r="A58" s="281" t="s">
        <v>51</v>
      </c>
      <c r="B58" s="281" t="s">
        <v>53</v>
      </c>
      <c r="C58" s="281" t="s">
        <v>95</v>
      </c>
      <c r="D58" s="281" t="s">
        <v>10</v>
      </c>
      <c r="E58" s="281">
        <v>2</v>
      </c>
      <c r="F58" s="222" t="str">
        <f t="shared" si="0"/>
        <v>ASSET-12</v>
      </c>
      <c r="G58" s="222">
        <f t="shared" si="1"/>
        <v>2</v>
      </c>
      <c r="H58" s="284">
        <f t="shared" ca="1" si="2"/>
        <v>0</v>
      </c>
      <c r="I58" s="284">
        <f t="shared" ca="1" si="3"/>
        <v>0</v>
      </c>
      <c r="J58" s="287" t="s">
        <v>95</v>
      </c>
      <c r="W58" s="278" t="str">
        <f ca="1">AB58&amp;"-"&amp;COUNTIF($AB$2:$AB58,$AB58)</f>
        <v>0-2-0-17</v>
      </c>
      <c r="X58" s="278" t="s">
        <v>95</v>
      </c>
      <c r="Y58" s="289">
        <f t="shared" ca="1" si="16"/>
        <v>0</v>
      </c>
      <c r="Z58" s="271">
        <v>2</v>
      </c>
      <c r="AA58" s="277">
        <f t="shared" ca="1" si="5"/>
        <v>0</v>
      </c>
      <c r="AB58" s="279" t="str">
        <f t="shared" ca="1" si="8"/>
        <v>0-2-0</v>
      </c>
    </row>
    <row r="59" spans="1:28" x14ac:dyDescent="0.25">
      <c r="A59" s="281" t="s">
        <v>51</v>
      </c>
      <c r="B59" s="281" t="s">
        <v>53</v>
      </c>
      <c r="C59" s="281" t="s">
        <v>97</v>
      </c>
      <c r="D59" s="281" t="s">
        <v>11</v>
      </c>
      <c r="E59" s="281">
        <v>3</v>
      </c>
      <c r="F59" s="222" t="str">
        <f t="shared" si="0"/>
        <v>ASSET-13</v>
      </c>
      <c r="G59" s="222">
        <f t="shared" si="1"/>
        <v>3</v>
      </c>
      <c r="H59" s="284">
        <f t="shared" ca="1" si="2"/>
        <v>0</v>
      </c>
      <c r="I59" s="284">
        <f t="shared" ca="1" si="3"/>
        <v>0</v>
      </c>
      <c r="J59" s="287" t="s">
        <v>97</v>
      </c>
      <c r="W59" s="278" t="str">
        <f ca="1">AB59&amp;"-"&amp;COUNTIF($AB$2:$AB59,$AB59)</f>
        <v>0-3-0-12</v>
      </c>
      <c r="X59" s="278" t="s">
        <v>97</v>
      </c>
      <c r="Y59" s="289">
        <f t="shared" ca="1" si="16"/>
        <v>0</v>
      </c>
      <c r="Z59" s="271">
        <v>3</v>
      </c>
      <c r="AA59" s="277">
        <f t="shared" ca="1" si="5"/>
        <v>0</v>
      </c>
      <c r="AB59" s="279" t="str">
        <f t="shared" ca="1" si="8"/>
        <v>0-3-0</v>
      </c>
    </row>
    <row r="60" spans="1:28" x14ac:dyDescent="0.25">
      <c r="A60" s="281" t="s">
        <v>51</v>
      </c>
      <c r="B60" s="281" t="s">
        <v>53</v>
      </c>
      <c r="C60" s="281" t="s">
        <v>99</v>
      </c>
      <c r="D60" s="281" t="s">
        <v>12</v>
      </c>
      <c r="E60" s="281">
        <v>3</v>
      </c>
      <c r="F60" s="222" t="str">
        <f t="shared" si="0"/>
        <v>ASSET-13</v>
      </c>
      <c r="G60" s="222">
        <f t="shared" si="1"/>
        <v>3</v>
      </c>
      <c r="H60" s="284">
        <f t="shared" ca="1" si="2"/>
        <v>0</v>
      </c>
      <c r="I60" s="284">
        <f t="shared" ca="1" si="3"/>
        <v>0</v>
      </c>
      <c r="J60" s="287" t="s">
        <v>99</v>
      </c>
      <c r="W60" s="278" t="str">
        <f ca="1">AB60&amp;"-"&amp;COUNTIF($AB$2:$AB60,$AB60)</f>
        <v>0-3-0-13</v>
      </c>
      <c r="X60" s="278" t="s">
        <v>99</v>
      </c>
      <c r="Y60" s="289">
        <f t="shared" ca="1" si="16"/>
        <v>0</v>
      </c>
      <c r="Z60" s="271">
        <v>3</v>
      </c>
      <c r="AA60" s="277">
        <f t="shared" ca="1" si="5"/>
        <v>0</v>
      </c>
      <c r="AB60" s="279" t="str">
        <f t="shared" ca="1" si="8"/>
        <v>0-3-0</v>
      </c>
    </row>
    <row r="61" spans="1:28" x14ac:dyDescent="0.25">
      <c r="A61" s="281" t="s">
        <v>51</v>
      </c>
      <c r="B61" s="281" t="s">
        <v>53</v>
      </c>
      <c r="C61" s="281" t="s">
        <v>101</v>
      </c>
      <c r="D61" s="281" t="s">
        <v>13</v>
      </c>
      <c r="E61" s="281">
        <v>3</v>
      </c>
      <c r="F61" s="222" t="str">
        <f t="shared" si="0"/>
        <v>ASSET-13</v>
      </c>
      <c r="G61" s="222">
        <f t="shared" si="1"/>
        <v>3</v>
      </c>
      <c r="H61" s="284">
        <f t="shared" ca="1" si="2"/>
        <v>0</v>
      </c>
      <c r="I61" s="284">
        <f t="shared" ca="1" si="3"/>
        <v>0</v>
      </c>
      <c r="J61" s="287" t="s">
        <v>101</v>
      </c>
      <c r="W61" s="278" t="str">
        <f ca="1">AB61&amp;"-"&amp;COUNTIF($AB$2:$AB61,$AB61)</f>
        <v>0-3-0-14</v>
      </c>
      <c r="X61" s="278" t="s">
        <v>101</v>
      </c>
      <c r="Y61" s="289">
        <f t="shared" ca="1" si="16"/>
        <v>0</v>
      </c>
      <c r="Z61" s="271">
        <v>3</v>
      </c>
      <c r="AA61" s="277">
        <f t="shared" ca="1" si="5"/>
        <v>0</v>
      </c>
      <c r="AB61" s="279" t="str">
        <f t="shared" ca="1" si="8"/>
        <v>0-3-0</v>
      </c>
    </row>
    <row r="62" spans="1:28" x14ac:dyDescent="0.25">
      <c r="A62" s="281" t="s">
        <v>51</v>
      </c>
      <c r="B62" s="281" t="s">
        <v>55</v>
      </c>
      <c r="C62" s="281" t="s">
        <v>103</v>
      </c>
      <c r="D62" s="281" t="s">
        <v>20</v>
      </c>
      <c r="E62" s="281">
        <v>1</v>
      </c>
      <c r="F62" s="222" t="str">
        <f t="shared" si="0"/>
        <v>ASSET-21</v>
      </c>
      <c r="G62" s="222">
        <f t="shared" si="1"/>
        <v>1</v>
      </c>
      <c r="H62" s="284">
        <f t="shared" ca="1" si="2"/>
        <v>0</v>
      </c>
      <c r="I62" s="284">
        <f t="shared" ca="1" si="3"/>
        <v>0</v>
      </c>
      <c r="J62" s="287" t="s">
        <v>103</v>
      </c>
      <c r="W62" s="278" t="str">
        <f ca="1">AB62&amp;"-"&amp;COUNTIF($AB$2:$AB62,$AB62)</f>
        <v>0-1-0-12</v>
      </c>
      <c r="X62" s="278" t="s">
        <v>103</v>
      </c>
      <c r="Y62" s="289">
        <f t="shared" ca="1" si="16"/>
        <v>0</v>
      </c>
      <c r="Z62" s="271">
        <v>1</v>
      </c>
      <c r="AA62" s="277">
        <f t="shared" ca="1" si="5"/>
        <v>0</v>
      </c>
      <c r="AB62" s="279" t="str">
        <f t="shared" ca="1" si="8"/>
        <v>0-1-0</v>
      </c>
    </row>
    <row r="63" spans="1:28" x14ac:dyDescent="0.25">
      <c r="A63" s="281" t="s">
        <v>51</v>
      </c>
      <c r="B63" s="281" t="s">
        <v>55</v>
      </c>
      <c r="C63" s="281" t="s">
        <v>104</v>
      </c>
      <c r="D63" s="281" t="s">
        <v>21</v>
      </c>
      <c r="E63" s="281">
        <v>2</v>
      </c>
      <c r="F63" s="222" t="str">
        <f t="shared" si="0"/>
        <v>ASSET-22</v>
      </c>
      <c r="G63" s="222">
        <f t="shared" si="1"/>
        <v>2</v>
      </c>
      <c r="H63" s="284">
        <f t="shared" ca="1" si="2"/>
        <v>0</v>
      </c>
      <c r="I63" s="284">
        <f t="shared" ca="1" si="3"/>
        <v>0</v>
      </c>
      <c r="J63" s="287" t="s">
        <v>104</v>
      </c>
      <c r="W63" s="278" t="str">
        <f ca="1">AB63&amp;"-"&amp;COUNTIF($AB$2:$AB63,$AB63)</f>
        <v>0-2-0-18</v>
      </c>
      <c r="X63" s="278" t="s">
        <v>104</v>
      </c>
      <c r="Y63" s="289">
        <f t="shared" ca="1" si="16"/>
        <v>0</v>
      </c>
      <c r="Z63" s="271">
        <v>2</v>
      </c>
      <c r="AA63" s="277">
        <f t="shared" ca="1" si="5"/>
        <v>0</v>
      </c>
      <c r="AB63" s="279" t="str">
        <f t="shared" ca="1" si="8"/>
        <v>0-2-0</v>
      </c>
    </row>
    <row r="64" spans="1:28" x14ac:dyDescent="0.25">
      <c r="A64" s="281" t="s">
        <v>51</v>
      </c>
      <c r="B64" s="281" t="s">
        <v>55</v>
      </c>
      <c r="C64" s="281" t="s">
        <v>106</v>
      </c>
      <c r="D64" s="281" t="s">
        <v>22</v>
      </c>
      <c r="E64" s="281">
        <v>2</v>
      </c>
      <c r="F64" s="222" t="str">
        <f t="shared" si="0"/>
        <v>ASSET-22</v>
      </c>
      <c r="G64" s="222">
        <f t="shared" si="1"/>
        <v>2</v>
      </c>
      <c r="H64" s="284">
        <f t="shared" ca="1" si="2"/>
        <v>0</v>
      </c>
      <c r="I64" s="284">
        <f t="shared" ca="1" si="3"/>
        <v>0</v>
      </c>
      <c r="J64" s="287" t="s">
        <v>106</v>
      </c>
      <c r="W64" s="278" t="str">
        <f ca="1">AB64&amp;"-"&amp;COUNTIF($AB$2:$AB64,$AB64)</f>
        <v>0-2-0-19</v>
      </c>
      <c r="X64" s="278" t="s">
        <v>106</v>
      </c>
      <c r="Y64" s="289">
        <f t="shared" ca="1" si="16"/>
        <v>0</v>
      </c>
      <c r="Z64" s="271">
        <v>2</v>
      </c>
      <c r="AA64" s="277">
        <f t="shared" ca="1" si="5"/>
        <v>0</v>
      </c>
      <c r="AB64" s="279" t="str">
        <f t="shared" ca="1" si="8"/>
        <v>0-2-0</v>
      </c>
    </row>
    <row r="65" spans="1:28" x14ac:dyDescent="0.25">
      <c r="A65" s="281" t="s">
        <v>51</v>
      </c>
      <c r="B65" s="281" t="s">
        <v>55</v>
      </c>
      <c r="C65" s="281" t="s">
        <v>108</v>
      </c>
      <c r="D65" s="281" t="s">
        <v>23</v>
      </c>
      <c r="E65" s="281">
        <v>3</v>
      </c>
      <c r="F65" s="222" t="str">
        <f t="shared" si="0"/>
        <v>ASSET-23</v>
      </c>
      <c r="G65" s="222">
        <f t="shared" si="1"/>
        <v>3</v>
      </c>
      <c r="H65" s="284">
        <f t="shared" ca="1" si="2"/>
        <v>0</v>
      </c>
      <c r="I65" s="284">
        <f t="shared" ca="1" si="3"/>
        <v>0</v>
      </c>
      <c r="J65" s="287" t="s">
        <v>108</v>
      </c>
      <c r="W65" s="278" t="str">
        <f ca="1">AB65&amp;"-"&amp;COUNTIF($AB$2:$AB65,$AB65)</f>
        <v>0-3-0-15</v>
      </c>
      <c r="X65" s="278" t="s">
        <v>108</v>
      </c>
      <c r="Y65" s="289">
        <f t="shared" ca="1" si="16"/>
        <v>0</v>
      </c>
      <c r="Z65" s="271">
        <v>3</v>
      </c>
      <c r="AA65" s="277">
        <f t="shared" ca="1" si="5"/>
        <v>0</v>
      </c>
      <c r="AB65" s="279" t="str">
        <f t="shared" ca="1" si="8"/>
        <v>0-3-0</v>
      </c>
    </row>
    <row r="66" spans="1:28" x14ac:dyDescent="0.25">
      <c r="A66" s="281" t="s">
        <v>51</v>
      </c>
      <c r="B66" s="281" t="s">
        <v>55</v>
      </c>
      <c r="C66" s="281" t="s">
        <v>110</v>
      </c>
      <c r="D66" s="281" t="s">
        <v>24</v>
      </c>
      <c r="E66" s="281">
        <v>3</v>
      </c>
      <c r="F66" s="222" t="str">
        <f t="shared" ref="F66:F129" si="20">CONCATENATE($B66,$E66)</f>
        <v>ASSET-23</v>
      </c>
      <c r="G66" s="222">
        <f t="shared" ref="G66:G129" si="21">COUNTIF($F:$F,$F66)</f>
        <v>3</v>
      </c>
      <c r="H66" s="284">
        <f t="shared" ref="H66:H129" ca="1" si="22">INT(LEFT(
VLOOKUP($D66, INDIRECT("'"&amp;$A66&amp;"'!"&amp;"$D:$H"), 5,FALSE), 1)
)</f>
        <v>0</v>
      </c>
      <c r="I66" s="284">
        <f t="shared" ref="I66:I129" ca="1" si="23">IFERROR(IF(H66&gt;2,1,0),0)</f>
        <v>0</v>
      </c>
      <c r="J66" s="287" t="s">
        <v>110</v>
      </c>
      <c r="W66" s="278" t="str">
        <f ca="1">AB66&amp;"-"&amp;COUNTIF($AB$2:$AB66,$AB66)</f>
        <v>0-3-0-16</v>
      </c>
      <c r="X66" s="278" t="s">
        <v>110</v>
      </c>
      <c r="Y66" s="289">
        <f t="shared" ref="Y66:Y97" ca="1" si="24">VLOOKUP(LEFT($X66,LEN($X66)-1),$K:$O,5,FALSE)</f>
        <v>0</v>
      </c>
      <c r="Z66" s="271">
        <v>3</v>
      </c>
      <c r="AA66" s="277">
        <f t="shared" ref="AA66:AA129" ca="1" si="25">VLOOKUP(X66,C:I,7,FALSE)</f>
        <v>0</v>
      </c>
      <c r="AB66" s="279" t="str">
        <f t="shared" ca="1" si="8"/>
        <v>0-3-0</v>
      </c>
    </row>
    <row r="67" spans="1:28" x14ac:dyDescent="0.25">
      <c r="A67" s="281" t="s">
        <v>51</v>
      </c>
      <c r="B67" s="281" t="s">
        <v>55</v>
      </c>
      <c r="C67" s="281" t="s">
        <v>111</v>
      </c>
      <c r="D67" s="281" t="s">
        <v>112</v>
      </c>
      <c r="E67" s="281">
        <v>3</v>
      </c>
      <c r="F67" s="222" t="str">
        <f t="shared" si="20"/>
        <v>ASSET-23</v>
      </c>
      <c r="G67" s="222">
        <f t="shared" si="21"/>
        <v>3</v>
      </c>
      <c r="H67" s="284">
        <f t="shared" ca="1" si="22"/>
        <v>0</v>
      </c>
      <c r="I67" s="284">
        <f t="shared" ca="1" si="23"/>
        <v>0</v>
      </c>
      <c r="J67" s="287" t="s">
        <v>111</v>
      </c>
      <c r="W67" s="278" t="str">
        <f ca="1">AB67&amp;"-"&amp;COUNTIF($AB$2:$AB67,$AB67)</f>
        <v>0-3-0-17</v>
      </c>
      <c r="X67" s="278" t="s">
        <v>111</v>
      </c>
      <c r="Y67" s="289">
        <f t="shared" ca="1" si="24"/>
        <v>0</v>
      </c>
      <c r="Z67" s="271">
        <v>3</v>
      </c>
      <c r="AA67" s="277">
        <f t="shared" ca="1" si="25"/>
        <v>0</v>
      </c>
      <c r="AB67" s="279" t="str">
        <f t="shared" ref="AB67:AB130" ca="1" si="26">Y67&amp;"-"&amp;Z67&amp;"-"&amp;AA67</f>
        <v>0-3-0</v>
      </c>
    </row>
    <row r="68" spans="1:28" x14ac:dyDescent="0.25">
      <c r="A68" s="281" t="s">
        <v>51</v>
      </c>
      <c r="B68" s="281" t="s">
        <v>57</v>
      </c>
      <c r="C68" s="281" t="s">
        <v>114</v>
      </c>
      <c r="D68" s="281" t="s">
        <v>25</v>
      </c>
      <c r="E68" s="281">
        <v>1</v>
      </c>
      <c r="F68" s="222" t="str">
        <f t="shared" si="20"/>
        <v>ASSET-31</v>
      </c>
      <c r="G68" s="222">
        <f t="shared" si="21"/>
        <v>2</v>
      </c>
      <c r="H68" s="284">
        <f t="shared" ca="1" si="22"/>
        <v>0</v>
      </c>
      <c r="I68" s="284">
        <f t="shared" ca="1" si="23"/>
        <v>0</v>
      </c>
      <c r="J68" s="287" t="s">
        <v>114</v>
      </c>
      <c r="W68" s="278" t="str">
        <f ca="1">AB68&amp;"-"&amp;COUNTIF($AB$2:$AB68,$AB68)</f>
        <v>0-1-0-13</v>
      </c>
      <c r="X68" s="278" t="s">
        <v>114</v>
      </c>
      <c r="Y68" s="289">
        <f t="shared" ca="1" si="24"/>
        <v>0</v>
      </c>
      <c r="Z68" s="271">
        <v>1</v>
      </c>
      <c r="AA68" s="277">
        <f t="shared" ca="1" si="25"/>
        <v>0</v>
      </c>
      <c r="AB68" s="279" t="str">
        <f t="shared" ca="1" si="26"/>
        <v>0-1-0</v>
      </c>
    </row>
    <row r="69" spans="1:28" x14ac:dyDescent="0.25">
      <c r="A69" s="281" t="s">
        <v>51</v>
      </c>
      <c r="B69" s="281" t="s">
        <v>57</v>
      </c>
      <c r="C69" s="281" t="s">
        <v>116</v>
      </c>
      <c r="D69" s="281" t="s">
        <v>26</v>
      </c>
      <c r="E69" s="281">
        <v>1</v>
      </c>
      <c r="F69" s="222" t="str">
        <f t="shared" si="20"/>
        <v>ASSET-31</v>
      </c>
      <c r="G69" s="222">
        <f t="shared" si="21"/>
        <v>2</v>
      </c>
      <c r="H69" s="284">
        <f t="shared" ca="1" si="22"/>
        <v>0</v>
      </c>
      <c r="I69" s="284">
        <f t="shared" ca="1" si="23"/>
        <v>0</v>
      </c>
      <c r="J69" s="287" t="s">
        <v>116</v>
      </c>
      <c r="W69" s="278" t="str">
        <f ca="1">AB69&amp;"-"&amp;COUNTIF($AB$2:$AB69,$AB69)</f>
        <v>0-1-0-14</v>
      </c>
      <c r="X69" s="278" t="s">
        <v>116</v>
      </c>
      <c r="Y69" s="289">
        <f t="shared" ca="1" si="24"/>
        <v>0</v>
      </c>
      <c r="Z69" s="271">
        <v>1</v>
      </c>
      <c r="AA69" s="277">
        <f t="shared" ca="1" si="25"/>
        <v>0</v>
      </c>
      <c r="AB69" s="279" t="str">
        <f t="shared" ca="1" si="26"/>
        <v>0-1-0</v>
      </c>
    </row>
    <row r="70" spans="1:28" x14ac:dyDescent="0.25">
      <c r="A70" s="281" t="s">
        <v>51</v>
      </c>
      <c r="B70" s="281" t="s">
        <v>57</v>
      </c>
      <c r="C70" s="281" t="s">
        <v>118</v>
      </c>
      <c r="D70" s="281" t="s">
        <v>27</v>
      </c>
      <c r="E70" s="281">
        <v>2</v>
      </c>
      <c r="F70" s="222" t="str">
        <f t="shared" si="20"/>
        <v>ASSET-32</v>
      </c>
      <c r="G70" s="222">
        <f t="shared" si="21"/>
        <v>1</v>
      </c>
      <c r="H70" s="284">
        <f t="shared" ca="1" si="22"/>
        <v>0</v>
      </c>
      <c r="I70" s="284">
        <f t="shared" ca="1" si="23"/>
        <v>0</v>
      </c>
      <c r="J70" s="287" t="s">
        <v>118</v>
      </c>
      <c r="W70" s="278" t="str">
        <f ca="1">AB70&amp;"-"&amp;COUNTIF($AB$2:$AB70,$AB70)</f>
        <v>0-2-0-20</v>
      </c>
      <c r="X70" s="278" t="s">
        <v>118</v>
      </c>
      <c r="Y70" s="289">
        <f t="shared" ca="1" si="24"/>
        <v>0</v>
      </c>
      <c r="Z70" s="271">
        <v>2</v>
      </c>
      <c r="AA70" s="277">
        <f t="shared" ca="1" si="25"/>
        <v>0</v>
      </c>
      <c r="AB70" s="279" t="str">
        <f t="shared" ca="1" si="26"/>
        <v>0-2-0</v>
      </c>
    </row>
    <row r="71" spans="1:28" x14ac:dyDescent="0.25">
      <c r="A71" s="281" t="s">
        <v>51</v>
      </c>
      <c r="B71" s="281" t="s">
        <v>57</v>
      </c>
      <c r="C71" s="281" t="s">
        <v>120</v>
      </c>
      <c r="D71" s="281" t="s">
        <v>28</v>
      </c>
      <c r="E71" s="281">
        <v>3</v>
      </c>
      <c r="F71" s="222" t="str">
        <f t="shared" si="20"/>
        <v>ASSET-33</v>
      </c>
      <c r="G71" s="222">
        <f t="shared" si="21"/>
        <v>3</v>
      </c>
      <c r="H71" s="284">
        <f t="shared" ca="1" si="22"/>
        <v>0</v>
      </c>
      <c r="I71" s="284">
        <f t="shared" ca="1" si="23"/>
        <v>0</v>
      </c>
      <c r="J71" s="287" t="s">
        <v>120</v>
      </c>
      <c r="W71" s="278" t="str">
        <f ca="1">AB71&amp;"-"&amp;COUNTIF($AB$2:$AB71,$AB71)</f>
        <v>0-3-0-18</v>
      </c>
      <c r="X71" s="278" t="s">
        <v>120</v>
      </c>
      <c r="Y71" s="289">
        <f t="shared" ca="1" si="24"/>
        <v>0</v>
      </c>
      <c r="Z71" s="271">
        <v>3</v>
      </c>
      <c r="AA71" s="277">
        <f t="shared" ca="1" si="25"/>
        <v>0</v>
      </c>
      <c r="AB71" s="279" t="str">
        <f t="shared" ca="1" si="26"/>
        <v>0-3-0</v>
      </c>
    </row>
    <row r="72" spans="1:28" x14ac:dyDescent="0.25">
      <c r="A72" s="281" t="s">
        <v>51</v>
      </c>
      <c r="B72" s="281" t="s">
        <v>57</v>
      </c>
      <c r="C72" s="281" t="s">
        <v>122</v>
      </c>
      <c r="D72" s="281" t="s">
        <v>29</v>
      </c>
      <c r="E72" s="281">
        <v>3</v>
      </c>
      <c r="F72" s="222" t="str">
        <f t="shared" si="20"/>
        <v>ASSET-33</v>
      </c>
      <c r="G72" s="222">
        <f t="shared" si="21"/>
        <v>3</v>
      </c>
      <c r="H72" s="284">
        <f t="shared" ca="1" si="22"/>
        <v>0</v>
      </c>
      <c r="I72" s="284">
        <f t="shared" ca="1" si="23"/>
        <v>0</v>
      </c>
      <c r="J72" s="287" t="s">
        <v>122</v>
      </c>
      <c r="W72" s="278" t="str">
        <f ca="1">AB72&amp;"-"&amp;COUNTIF($AB$2:$AB72,$AB72)</f>
        <v>0-3-0-19</v>
      </c>
      <c r="X72" s="278" t="s">
        <v>122</v>
      </c>
      <c r="Y72" s="289">
        <f t="shared" ca="1" si="24"/>
        <v>0</v>
      </c>
      <c r="Z72" s="271">
        <v>3</v>
      </c>
      <c r="AA72" s="277">
        <f t="shared" ca="1" si="25"/>
        <v>0</v>
      </c>
      <c r="AB72" s="279" t="str">
        <f t="shared" ca="1" si="26"/>
        <v>0-3-0</v>
      </c>
    </row>
    <row r="73" spans="1:28" x14ac:dyDescent="0.25">
      <c r="A73" s="281" t="s">
        <v>51</v>
      </c>
      <c r="B73" s="281" t="s">
        <v>57</v>
      </c>
      <c r="C73" s="281" t="s">
        <v>123</v>
      </c>
      <c r="D73" s="281" t="s">
        <v>30</v>
      </c>
      <c r="E73" s="281">
        <v>3</v>
      </c>
      <c r="F73" s="222" t="str">
        <f t="shared" si="20"/>
        <v>ASSET-33</v>
      </c>
      <c r="G73" s="222">
        <f t="shared" si="21"/>
        <v>3</v>
      </c>
      <c r="H73" s="284">
        <f t="shared" ca="1" si="22"/>
        <v>0</v>
      </c>
      <c r="I73" s="284">
        <f t="shared" ca="1" si="23"/>
        <v>0</v>
      </c>
      <c r="J73" s="287" t="s">
        <v>123</v>
      </c>
      <c r="W73" s="278" t="str">
        <f ca="1">AB73&amp;"-"&amp;COUNTIF($AB$2:$AB73,$AB73)</f>
        <v>0-3-0-20</v>
      </c>
      <c r="X73" s="278" t="s">
        <v>123</v>
      </c>
      <c r="Y73" s="289">
        <f t="shared" ca="1" si="24"/>
        <v>0</v>
      </c>
      <c r="Z73" s="271">
        <v>3</v>
      </c>
      <c r="AA73" s="277">
        <f t="shared" ca="1" si="25"/>
        <v>0</v>
      </c>
      <c r="AB73" s="279" t="str">
        <f t="shared" ca="1" si="26"/>
        <v>0-3-0</v>
      </c>
    </row>
    <row r="74" spans="1:28" x14ac:dyDescent="0.25">
      <c r="A74" s="281" t="s">
        <v>51</v>
      </c>
      <c r="B74" s="281" t="s">
        <v>59</v>
      </c>
      <c r="C74" s="281" t="s">
        <v>125</v>
      </c>
      <c r="D74" s="281" t="s">
        <v>126</v>
      </c>
      <c r="E74" s="281">
        <v>1</v>
      </c>
      <c r="F74" s="222" t="str">
        <f t="shared" si="20"/>
        <v>ASSET-41</v>
      </c>
      <c r="G74" s="222">
        <f t="shared" si="21"/>
        <v>2</v>
      </c>
      <c r="H74" s="284">
        <f t="shared" ca="1" si="22"/>
        <v>0</v>
      </c>
      <c r="I74" s="284">
        <f t="shared" ca="1" si="23"/>
        <v>0</v>
      </c>
      <c r="J74" s="287" t="s">
        <v>125</v>
      </c>
      <c r="W74" s="278" t="str">
        <f ca="1">AB74&amp;"-"&amp;COUNTIF($AB$2:$AB74,$AB74)</f>
        <v>0-1-0-15</v>
      </c>
      <c r="X74" s="278" t="s">
        <v>125</v>
      </c>
      <c r="Y74" s="289">
        <f t="shared" ca="1" si="24"/>
        <v>0</v>
      </c>
      <c r="Z74" s="271">
        <v>1</v>
      </c>
      <c r="AA74" s="277">
        <f t="shared" ca="1" si="25"/>
        <v>0</v>
      </c>
      <c r="AB74" s="279" t="str">
        <f t="shared" ca="1" si="26"/>
        <v>0-1-0</v>
      </c>
    </row>
    <row r="75" spans="1:28" x14ac:dyDescent="0.25">
      <c r="A75" s="281" t="s">
        <v>51</v>
      </c>
      <c r="B75" s="281" t="s">
        <v>59</v>
      </c>
      <c r="C75" s="281" t="s">
        <v>128</v>
      </c>
      <c r="D75" s="281" t="s">
        <v>129</v>
      </c>
      <c r="E75" s="281">
        <v>1</v>
      </c>
      <c r="F75" s="222" t="str">
        <f t="shared" si="20"/>
        <v>ASSET-41</v>
      </c>
      <c r="G75" s="222">
        <f t="shared" si="21"/>
        <v>2</v>
      </c>
      <c r="H75" s="284">
        <f t="shared" ca="1" si="22"/>
        <v>0</v>
      </c>
      <c r="I75" s="284">
        <f t="shared" ca="1" si="23"/>
        <v>0</v>
      </c>
      <c r="J75" s="287" t="s">
        <v>128</v>
      </c>
      <c r="W75" s="278" t="str">
        <f ca="1">AB75&amp;"-"&amp;COUNTIF($AB$2:$AB75,$AB75)</f>
        <v>0-1-0-16</v>
      </c>
      <c r="X75" s="278" t="s">
        <v>128</v>
      </c>
      <c r="Y75" s="289">
        <f t="shared" ca="1" si="24"/>
        <v>0</v>
      </c>
      <c r="Z75" s="271">
        <v>1</v>
      </c>
      <c r="AA75" s="277">
        <f t="shared" ca="1" si="25"/>
        <v>0</v>
      </c>
      <c r="AB75" s="279" t="str">
        <f t="shared" ca="1" si="26"/>
        <v>0-1-0</v>
      </c>
    </row>
    <row r="76" spans="1:28" x14ac:dyDescent="0.25">
      <c r="A76" s="281" t="s">
        <v>51</v>
      </c>
      <c r="B76" s="281" t="s">
        <v>59</v>
      </c>
      <c r="C76" s="281" t="s">
        <v>131</v>
      </c>
      <c r="D76" s="281" t="s">
        <v>132</v>
      </c>
      <c r="E76" s="281">
        <v>2</v>
      </c>
      <c r="F76" s="222" t="str">
        <f t="shared" si="20"/>
        <v>ASSET-42</v>
      </c>
      <c r="G76" s="222">
        <f t="shared" si="21"/>
        <v>2</v>
      </c>
      <c r="H76" s="284">
        <f t="shared" ca="1" si="22"/>
        <v>0</v>
      </c>
      <c r="I76" s="284">
        <f t="shared" ca="1" si="23"/>
        <v>0</v>
      </c>
      <c r="J76" s="287" t="s">
        <v>131</v>
      </c>
      <c r="W76" s="278" t="str">
        <f ca="1">AB76&amp;"-"&amp;COUNTIF($AB$2:$AB76,$AB76)</f>
        <v>0-2-0-21</v>
      </c>
      <c r="X76" s="278" t="s">
        <v>131</v>
      </c>
      <c r="Y76" s="289">
        <f t="shared" ca="1" si="24"/>
        <v>0</v>
      </c>
      <c r="Z76" s="271">
        <v>2</v>
      </c>
      <c r="AA76" s="277">
        <f t="shared" ca="1" si="25"/>
        <v>0</v>
      </c>
      <c r="AB76" s="279" t="str">
        <f t="shared" ca="1" si="26"/>
        <v>0-2-0</v>
      </c>
    </row>
    <row r="77" spans="1:28" x14ac:dyDescent="0.25">
      <c r="A77" s="281" t="s">
        <v>51</v>
      </c>
      <c r="B77" s="281" t="s">
        <v>59</v>
      </c>
      <c r="C77" s="281" t="s">
        <v>134</v>
      </c>
      <c r="D77" s="281" t="s">
        <v>135</v>
      </c>
      <c r="E77" s="281">
        <v>2</v>
      </c>
      <c r="F77" s="222" t="str">
        <f t="shared" si="20"/>
        <v>ASSET-42</v>
      </c>
      <c r="G77" s="222">
        <f t="shared" si="21"/>
        <v>2</v>
      </c>
      <c r="H77" s="284">
        <f t="shared" ca="1" si="22"/>
        <v>0</v>
      </c>
      <c r="I77" s="284">
        <f t="shared" ca="1" si="23"/>
        <v>0</v>
      </c>
      <c r="J77" s="287" t="s">
        <v>134</v>
      </c>
      <c r="W77" s="278" t="str">
        <f ca="1">AB77&amp;"-"&amp;COUNTIF($AB$2:$AB77,$AB77)</f>
        <v>0-2-0-22</v>
      </c>
      <c r="X77" s="278" t="s">
        <v>134</v>
      </c>
      <c r="Y77" s="289">
        <f t="shared" ca="1" si="24"/>
        <v>0</v>
      </c>
      <c r="Z77" s="271">
        <v>2</v>
      </c>
      <c r="AA77" s="277">
        <f t="shared" ca="1" si="25"/>
        <v>0</v>
      </c>
      <c r="AB77" s="279" t="str">
        <f t="shared" ca="1" si="26"/>
        <v>0-2-0</v>
      </c>
    </row>
    <row r="78" spans="1:28" x14ac:dyDescent="0.25">
      <c r="A78" s="281" t="s">
        <v>51</v>
      </c>
      <c r="B78" s="281" t="s">
        <v>59</v>
      </c>
      <c r="C78" s="281" t="s">
        <v>137</v>
      </c>
      <c r="D78" s="281" t="s">
        <v>138</v>
      </c>
      <c r="E78" s="281">
        <v>3</v>
      </c>
      <c r="F78" s="222" t="str">
        <f t="shared" si="20"/>
        <v>ASSET-43</v>
      </c>
      <c r="G78" s="222">
        <f t="shared" si="21"/>
        <v>2</v>
      </c>
      <c r="H78" s="284">
        <f t="shared" ca="1" si="22"/>
        <v>0</v>
      </c>
      <c r="I78" s="284">
        <f t="shared" ca="1" si="23"/>
        <v>0</v>
      </c>
      <c r="J78" s="287" t="s">
        <v>137</v>
      </c>
      <c r="W78" s="278" t="str">
        <f ca="1">AB78&amp;"-"&amp;COUNTIF($AB$2:$AB78,$AB78)</f>
        <v>0-3-0-21</v>
      </c>
      <c r="X78" s="278" t="s">
        <v>137</v>
      </c>
      <c r="Y78" s="289">
        <f t="shared" ca="1" si="24"/>
        <v>0</v>
      </c>
      <c r="Z78" s="271">
        <v>3</v>
      </c>
      <c r="AA78" s="277">
        <f t="shared" ca="1" si="25"/>
        <v>0</v>
      </c>
      <c r="AB78" s="279" t="str">
        <f t="shared" ca="1" si="26"/>
        <v>0-3-0</v>
      </c>
    </row>
    <row r="79" spans="1:28" x14ac:dyDescent="0.25">
      <c r="A79" s="281" t="s">
        <v>51</v>
      </c>
      <c r="B79" s="281" t="s">
        <v>59</v>
      </c>
      <c r="C79" s="281" t="s">
        <v>139</v>
      </c>
      <c r="D79" s="281" t="s">
        <v>140</v>
      </c>
      <c r="E79" s="281">
        <v>3</v>
      </c>
      <c r="F79" s="222" t="str">
        <f t="shared" si="20"/>
        <v>ASSET-43</v>
      </c>
      <c r="G79" s="222">
        <f t="shared" si="21"/>
        <v>2</v>
      </c>
      <c r="H79" s="284">
        <f t="shared" ca="1" si="22"/>
        <v>0</v>
      </c>
      <c r="I79" s="284">
        <f t="shared" ca="1" si="23"/>
        <v>0</v>
      </c>
      <c r="J79" s="287" t="s">
        <v>139</v>
      </c>
      <c r="W79" s="278" t="str">
        <f ca="1">AB79&amp;"-"&amp;COUNTIF($AB$2:$AB79,$AB79)</f>
        <v>0-3-0-22</v>
      </c>
      <c r="X79" s="278" t="s">
        <v>139</v>
      </c>
      <c r="Y79" s="289">
        <f t="shared" ca="1" si="24"/>
        <v>0</v>
      </c>
      <c r="Z79" s="271">
        <v>3</v>
      </c>
      <c r="AA79" s="277">
        <f t="shared" ca="1" si="25"/>
        <v>0</v>
      </c>
      <c r="AB79" s="279" t="str">
        <f t="shared" ca="1" si="26"/>
        <v>0-3-0</v>
      </c>
    </row>
    <row r="80" spans="1:28" x14ac:dyDescent="0.25">
      <c r="A80" s="281" t="s">
        <v>51</v>
      </c>
      <c r="B80" s="281" t="s">
        <v>62</v>
      </c>
      <c r="C80" s="281" t="s">
        <v>142</v>
      </c>
      <c r="D80" s="281" t="s">
        <v>143</v>
      </c>
      <c r="E80" s="281">
        <v>2</v>
      </c>
      <c r="F80" s="222" t="str">
        <f t="shared" si="20"/>
        <v>ASSET-52</v>
      </c>
      <c r="G80" s="222">
        <f t="shared" si="21"/>
        <v>4</v>
      </c>
      <c r="H80" s="284">
        <f t="shared" ca="1" si="22"/>
        <v>0</v>
      </c>
      <c r="I80" s="284">
        <f t="shared" ca="1" si="23"/>
        <v>0</v>
      </c>
      <c r="J80" s="287" t="s">
        <v>142</v>
      </c>
      <c r="W80" s="278" t="str">
        <f ca="1">AB80&amp;"-"&amp;COUNTIF($AB$2:$AB80,$AB80)</f>
        <v>1-2-0-11</v>
      </c>
      <c r="X80" s="278" t="s">
        <v>142</v>
      </c>
      <c r="Y80" s="289">
        <f t="shared" ca="1" si="24"/>
        <v>1</v>
      </c>
      <c r="Z80" s="271">
        <v>2</v>
      </c>
      <c r="AA80" s="277">
        <f t="shared" ca="1" si="25"/>
        <v>0</v>
      </c>
      <c r="AB80" s="279" t="str">
        <f t="shared" ca="1" si="26"/>
        <v>1-2-0</v>
      </c>
    </row>
    <row r="81" spans="1:28" x14ac:dyDescent="0.25">
      <c r="A81" s="281" t="s">
        <v>51</v>
      </c>
      <c r="B81" s="281" t="s">
        <v>62</v>
      </c>
      <c r="C81" s="281" t="s">
        <v>145</v>
      </c>
      <c r="D81" s="281" t="s">
        <v>146</v>
      </c>
      <c r="E81" s="281">
        <v>2</v>
      </c>
      <c r="F81" s="222" t="str">
        <f t="shared" si="20"/>
        <v>ASSET-52</v>
      </c>
      <c r="G81" s="222">
        <f t="shared" si="21"/>
        <v>4</v>
      </c>
      <c r="H81" s="284">
        <f t="shared" ca="1" si="22"/>
        <v>0</v>
      </c>
      <c r="I81" s="284">
        <f t="shared" ca="1" si="23"/>
        <v>0</v>
      </c>
      <c r="J81" s="287" t="s">
        <v>145</v>
      </c>
      <c r="W81" s="278" t="str">
        <f ca="1">AB81&amp;"-"&amp;COUNTIF($AB$2:$AB81,$AB81)</f>
        <v>1-2-0-12</v>
      </c>
      <c r="X81" s="278" t="s">
        <v>145</v>
      </c>
      <c r="Y81" s="289">
        <f t="shared" ca="1" si="24"/>
        <v>1</v>
      </c>
      <c r="Z81" s="271">
        <v>2</v>
      </c>
      <c r="AA81" s="277">
        <f t="shared" ca="1" si="25"/>
        <v>0</v>
      </c>
      <c r="AB81" s="279" t="str">
        <f t="shared" ca="1" si="26"/>
        <v>1-2-0</v>
      </c>
    </row>
    <row r="82" spans="1:28" x14ac:dyDescent="0.25">
      <c r="A82" s="281" t="s">
        <v>51</v>
      </c>
      <c r="B82" s="281" t="s">
        <v>62</v>
      </c>
      <c r="C82" s="281" t="s">
        <v>148</v>
      </c>
      <c r="D82" s="281" t="s">
        <v>149</v>
      </c>
      <c r="E82" s="281">
        <v>2</v>
      </c>
      <c r="F82" s="222" t="str">
        <f t="shared" si="20"/>
        <v>ASSET-52</v>
      </c>
      <c r="G82" s="222">
        <f t="shared" si="21"/>
        <v>4</v>
      </c>
      <c r="H82" s="284">
        <f t="shared" ca="1" si="22"/>
        <v>0</v>
      </c>
      <c r="I82" s="284">
        <f t="shared" ca="1" si="23"/>
        <v>0</v>
      </c>
      <c r="J82" s="287" t="s">
        <v>148</v>
      </c>
      <c r="W82" s="278" t="str">
        <f ca="1">AB82&amp;"-"&amp;COUNTIF($AB$2:$AB82,$AB82)</f>
        <v>1-2-0-13</v>
      </c>
      <c r="X82" s="278" t="s">
        <v>148</v>
      </c>
      <c r="Y82" s="289">
        <f t="shared" ca="1" si="24"/>
        <v>1</v>
      </c>
      <c r="Z82" s="271">
        <v>2</v>
      </c>
      <c r="AA82" s="277">
        <f t="shared" ca="1" si="25"/>
        <v>0</v>
      </c>
      <c r="AB82" s="279" t="str">
        <f t="shared" ca="1" si="26"/>
        <v>1-2-0</v>
      </c>
    </row>
    <row r="83" spans="1:28" x14ac:dyDescent="0.25">
      <c r="A83" s="281" t="s">
        <v>51</v>
      </c>
      <c r="B83" s="281" t="s">
        <v>62</v>
      </c>
      <c r="C83" s="281" t="s">
        <v>151</v>
      </c>
      <c r="D83" s="281" t="s">
        <v>152</v>
      </c>
      <c r="E83" s="281">
        <v>2</v>
      </c>
      <c r="F83" s="222" t="str">
        <f t="shared" si="20"/>
        <v>ASSET-52</v>
      </c>
      <c r="G83" s="222">
        <f t="shared" si="21"/>
        <v>4</v>
      </c>
      <c r="H83" s="284">
        <f t="shared" ca="1" si="22"/>
        <v>0</v>
      </c>
      <c r="I83" s="284">
        <f t="shared" ca="1" si="23"/>
        <v>0</v>
      </c>
      <c r="J83" s="287" t="s">
        <v>151</v>
      </c>
      <c r="W83" s="278" t="str">
        <f ca="1">AB83&amp;"-"&amp;COUNTIF($AB$2:$AB83,$AB83)</f>
        <v>1-2-0-14</v>
      </c>
      <c r="X83" s="278" t="s">
        <v>151</v>
      </c>
      <c r="Y83" s="289">
        <f t="shared" ca="1" si="24"/>
        <v>1</v>
      </c>
      <c r="Z83" s="271">
        <v>2</v>
      </c>
      <c r="AA83" s="277">
        <f t="shared" ca="1" si="25"/>
        <v>0</v>
      </c>
      <c r="AB83" s="279" t="str">
        <f t="shared" ca="1" si="26"/>
        <v>1-2-0</v>
      </c>
    </row>
    <row r="84" spans="1:28" x14ac:dyDescent="0.25">
      <c r="A84" s="281" t="s">
        <v>51</v>
      </c>
      <c r="B84" s="281" t="s">
        <v>62</v>
      </c>
      <c r="C84" s="281" t="s">
        <v>153</v>
      </c>
      <c r="D84" s="281" t="s">
        <v>154</v>
      </c>
      <c r="E84" s="281">
        <v>3</v>
      </c>
      <c r="F84" s="222" t="str">
        <f t="shared" si="20"/>
        <v>ASSET-53</v>
      </c>
      <c r="G84" s="222">
        <f t="shared" si="21"/>
        <v>3</v>
      </c>
      <c r="H84" s="284">
        <f t="shared" ca="1" si="22"/>
        <v>0</v>
      </c>
      <c r="I84" s="284">
        <f t="shared" ca="1" si="23"/>
        <v>0</v>
      </c>
      <c r="J84" s="287" t="s">
        <v>153</v>
      </c>
      <c r="W84" s="278" t="str">
        <f ca="1">AB84&amp;"-"&amp;COUNTIF($AB$2:$AB84,$AB84)</f>
        <v>1-3-0-9</v>
      </c>
      <c r="X84" s="278" t="s">
        <v>153</v>
      </c>
      <c r="Y84" s="289">
        <f t="shared" ca="1" si="24"/>
        <v>1</v>
      </c>
      <c r="Z84" s="271">
        <v>3</v>
      </c>
      <c r="AA84" s="277">
        <f t="shared" ca="1" si="25"/>
        <v>0</v>
      </c>
      <c r="AB84" s="279" t="str">
        <f t="shared" ca="1" si="26"/>
        <v>1-3-0</v>
      </c>
    </row>
    <row r="85" spans="1:28" x14ac:dyDescent="0.25">
      <c r="A85" s="281" t="s">
        <v>51</v>
      </c>
      <c r="B85" s="281" t="s">
        <v>62</v>
      </c>
      <c r="C85" s="281" t="s">
        <v>155</v>
      </c>
      <c r="D85" s="281" t="s">
        <v>156</v>
      </c>
      <c r="E85" s="281">
        <v>3</v>
      </c>
      <c r="F85" s="222" t="str">
        <f t="shared" si="20"/>
        <v>ASSET-53</v>
      </c>
      <c r="G85" s="222">
        <f t="shared" si="21"/>
        <v>3</v>
      </c>
      <c r="H85" s="284">
        <f t="shared" ca="1" si="22"/>
        <v>0</v>
      </c>
      <c r="I85" s="284">
        <f t="shared" ca="1" si="23"/>
        <v>0</v>
      </c>
      <c r="J85" s="287" t="s">
        <v>155</v>
      </c>
      <c r="W85" s="278" t="str">
        <f ca="1">AB85&amp;"-"&amp;COUNTIF($AB$2:$AB85,$AB85)</f>
        <v>1-3-0-10</v>
      </c>
      <c r="X85" s="278" t="s">
        <v>155</v>
      </c>
      <c r="Y85" s="289">
        <f t="shared" ca="1" si="24"/>
        <v>1</v>
      </c>
      <c r="Z85" s="271">
        <v>3</v>
      </c>
      <c r="AA85" s="277">
        <f t="shared" ca="1" si="25"/>
        <v>0</v>
      </c>
      <c r="AB85" s="279" t="str">
        <f t="shared" ca="1" si="26"/>
        <v>1-3-0</v>
      </c>
    </row>
    <row r="86" spans="1:28" x14ac:dyDescent="0.25">
      <c r="A86" s="281" t="s">
        <v>51</v>
      </c>
      <c r="B86" s="281" t="s">
        <v>62</v>
      </c>
      <c r="C86" s="281" t="s">
        <v>158</v>
      </c>
      <c r="D86" s="281" t="s">
        <v>159</v>
      </c>
      <c r="E86" s="281">
        <v>3</v>
      </c>
      <c r="F86" s="222" t="str">
        <f t="shared" si="20"/>
        <v>ASSET-53</v>
      </c>
      <c r="G86" s="222">
        <f t="shared" si="21"/>
        <v>3</v>
      </c>
      <c r="H86" s="284">
        <f t="shared" ca="1" si="22"/>
        <v>0</v>
      </c>
      <c r="I86" s="284">
        <f t="shared" ca="1" si="23"/>
        <v>0</v>
      </c>
      <c r="J86" s="287" t="s">
        <v>158</v>
      </c>
      <c r="W86" s="278" t="str">
        <f ca="1">AB86&amp;"-"&amp;COUNTIF($AB$2:$AB86,$AB86)</f>
        <v>1-3-0-11</v>
      </c>
      <c r="X86" s="278" t="s">
        <v>158</v>
      </c>
      <c r="Y86" s="289">
        <f t="shared" ca="1" si="24"/>
        <v>1</v>
      </c>
      <c r="Z86" s="271">
        <v>3</v>
      </c>
      <c r="AA86" s="277">
        <f t="shared" ca="1" si="25"/>
        <v>0</v>
      </c>
      <c r="AB86" s="279" t="str">
        <f t="shared" ca="1" si="26"/>
        <v>1-3-0</v>
      </c>
    </row>
    <row r="87" spans="1:28" x14ac:dyDescent="0.25">
      <c r="A87" s="281" t="s">
        <v>60</v>
      </c>
      <c r="B87" s="281" t="s">
        <v>157</v>
      </c>
      <c r="C87" s="281" t="s">
        <v>425</v>
      </c>
      <c r="D87" s="281" t="s">
        <v>7</v>
      </c>
      <c r="E87" s="281">
        <v>1</v>
      </c>
      <c r="F87" s="222" t="str">
        <f t="shared" si="20"/>
        <v>CRITICAL-11</v>
      </c>
      <c r="G87" s="222">
        <f t="shared" si="21"/>
        <v>4</v>
      </c>
      <c r="H87" s="284">
        <f t="shared" ca="1" si="22"/>
        <v>0</v>
      </c>
      <c r="I87" s="284">
        <f t="shared" ca="1" si="23"/>
        <v>0</v>
      </c>
      <c r="J87" s="287" t="s">
        <v>425</v>
      </c>
      <c r="W87" s="278" t="str">
        <f ca="1">AB87&amp;"-"&amp;COUNTIF($AB$2:$AB87,$AB87)</f>
        <v>0-1-0-17</v>
      </c>
      <c r="X87" s="278" t="s">
        <v>425</v>
      </c>
      <c r="Y87" s="289">
        <f t="shared" ca="1" si="24"/>
        <v>0</v>
      </c>
      <c r="Z87" s="271">
        <v>1</v>
      </c>
      <c r="AA87" s="277">
        <f t="shared" ca="1" si="25"/>
        <v>0</v>
      </c>
      <c r="AB87" s="279" t="str">
        <f t="shared" ca="1" si="26"/>
        <v>0-1-0</v>
      </c>
    </row>
    <row r="88" spans="1:28" x14ac:dyDescent="0.25">
      <c r="A88" s="281" t="s">
        <v>60</v>
      </c>
      <c r="B88" s="281" t="s">
        <v>157</v>
      </c>
      <c r="C88" s="281" t="s">
        <v>426</v>
      </c>
      <c r="D88" s="281" t="s">
        <v>9</v>
      </c>
      <c r="E88" s="281">
        <v>1</v>
      </c>
      <c r="F88" s="222" t="str">
        <f t="shared" si="20"/>
        <v>CRITICAL-11</v>
      </c>
      <c r="G88" s="222">
        <f t="shared" si="21"/>
        <v>4</v>
      </c>
      <c r="H88" s="284">
        <f t="shared" ca="1" si="22"/>
        <v>0</v>
      </c>
      <c r="I88" s="284">
        <f t="shared" ca="1" si="23"/>
        <v>0</v>
      </c>
      <c r="J88" s="287" t="s">
        <v>426</v>
      </c>
      <c r="W88" s="278" t="str">
        <f ca="1">AB88&amp;"-"&amp;COUNTIF($AB$2:$AB88,$AB88)</f>
        <v>0-1-0-18</v>
      </c>
      <c r="X88" s="278" t="s">
        <v>426</v>
      </c>
      <c r="Y88" s="289">
        <f t="shared" ca="1" si="24"/>
        <v>0</v>
      </c>
      <c r="Z88" s="271">
        <v>1</v>
      </c>
      <c r="AA88" s="277">
        <f t="shared" ca="1" si="25"/>
        <v>0</v>
      </c>
      <c r="AB88" s="279" t="str">
        <f t="shared" ca="1" si="26"/>
        <v>0-1-0</v>
      </c>
    </row>
    <row r="89" spans="1:28" x14ac:dyDescent="0.25">
      <c r="A89" s="281" t="s">
        <v>60</v>
      </c>
      <c r="B89" s="281" t="s">
        <v>157</v>
      </c>
      <c r="C89" s="281" t="s">
        <v>427</v>
      </c>
      <c r="D89" s="281" t="s">
        <v>10</v>
      </c>
      <c r="E89" s="281">
        <v>1</v>
      </c>
      <c r="F89" s="222" t="str">
        <f t="shared" si="20"/>
        <v>CRITICAL-11</v>
      </c>
      <c r="G89" s="222">
        <f t="shared" si="21"/>
        <v>4</v>
      </c>
      <c r="H89" s="284">
        <f t="shared" ca="1" si="22"/>
        <v>0</v>
      </c>
      <c r="I89" s="284">
        <f t="shared" ca="1" si="23"/>
        <v>0</v>
      </c>
      <c r="J89" s="287" t="s">
        <v>427</v>
      </c>
      <c r="W89" s="278" t="str">
        <f ca="1">AB89&amp;"-"&amp;COUNTIF($AB$2:$AB89,$AB89)</f>
        <v>0-1-0-19</v>
      </c>
      <c r="X89" s="278" t="s">
        <v>427</v>
      </c>
      <c r="Y89" s="289">
        <f t="shared" ca="1" si="24"/>
        <v>0</v>
      </c>
      <c r="Z89" s="271">
        <v>1</v>
      </c>
      <c r="AA89" s="277">
        <f t="shared" ca="1" si="25"/>
        <v>0</v>
      </c>
      <c r="AB89" s="279" t="str">
        <f t="shared" ca="1" si="26"/>
        <v>0-1-0</v>
      </c>
    </row>
    <row r="90" spans="1:28" x14ac:dyDescent="0.25">
      <c r="A90" s="281" t="s">
        <v>60</v>
      </c>
      <c r="B90" s="281" t="s">
        <v>157</v>
      </c>
      <c r="C90" s="281" t="s">
        <v>428</v>
      </c>
      <c r="D90" s="281" t="s">
        <v>11</v>
      </c>
      <c r="E90" s="281">
        <v>1</v>
      </c>
      <c r="F90" s="222" t="str">
        <f t="shared" si="20"/>
        <v>CRITICAL-11</v>
      </c>
      <c r="G90" s="222">
        <f t="shared" si="21"/>
        <v>4</v>
      </c>
      <c r="H90" s="284">
        <f t="shared" ca="1" si="22"/>
        <v>0</v>
      </c>
      <c r="I90" s="284">
        <f t="shared" ca="1" si="23"/>
        <v>0</v>
      </c>
      <c r="J90" s="287" t="s">
        <v>428</v>
      </c>
      <c r="W90" s="278" t="str">
        <f ca="1">AB90&amp;"-"&amp;COUNTIF($AB$2:$AB90,$AB90)</f>
        <v>0-1-0-20</v>
      </c>
      <c r="X90" s="278" t="s">
        <v>428</v>
      </c>
      <c r="Y90" s="289">
        <f t="shared" ca="1" si="24"/>
        <v>0</v>
      </c>
      <c r="Z90" s="271">
        <v>1</v>
      </c>
      <c r="AA90" s="277">
        <f t="shared" ca="1" si="25"/>
        <v>0</v>
      </c>
      <c r="AB90" s="279" t="str">
        <f t="shared" ca="1" si="26"/>
        <v>0-1-0</v>
      </c>
    </row>
    <row r="91" spans="1:28" x14ac:dyDescent="0.25">
      <c r="A91" s="281" t="s">
        <v>60</v>
      </c>
      <c r="B91" s="281" t="s">
        <v>157</v>
      </c>
      <c r="C91" s="281" t="s">
        <v>429</v>
      </c>
      <c r="D91" s="281" t="s">
        <v>12</v>
      </c>
      <c r="E91" s="281">
        <v>2</v>
      </c>
      <c r="F91" s="222" t="str">
        <f t="shared" si="20"/>
        <v>CRITICAL-12</v>
      </c>
      <c r="G91" s="222">
        <f t="shared" si="21"/>
        <v>3</v>
      </c>
      <c r="H91" s="284">
        <f t="shared" ca="1" si="22"/>
        <v>0</v>
      </c>
      <c r="I91" s="284">
        <f t="shared" ca="1" si="23"/>
        <v>0</v>
      </c>
      <c r="J91" s="287" t="s">
        <v>429</v>
      </c>
      <c r="W91" s="278" t="str">
        <f ca="1">AB91&amp;"-"&amp;COUNTIF($AB$2:$AB91,$AB91)</f>
        <v>0-2-0-23</v>
      </c>
      <c r="X91" s="278" t="s">
        <v>429</v>
      </c>
      <c r="Y91" s="289">
        <f t="shared" ca="1" si="24"/>
        <v>0</v>
      </c>
      <c r="Z91" s="271">
        <v>2</v>
      </c>
      <c r="AA91" s="277">
        <f t="shared" ca="1" si="25"/>
        <v>0</v>
      </c>
      <c r="AB91" s="279" t="str">
        <f t="shared" ca="1" si="26"/>
        <v>0-2-0</v>
      </c>
    </row>
    <row r="92" spans="1:28" x14ac:dyDescent="0.25">
      <c r="A92" s="281" t="s">
        <v>60</v>
      </c>
      <c r="B92" s="281" t="s">
        <v>157</v>
      </c>
      <c r="C92" s="281" t="s">
        <v>430</v>
      </c>
      <c r="D92" s="281" t="s">
        <v>13</v>
      </c>
      <c r="E92" s="281">
        <v>2</v>
      </c>
      <c r="F92" s="222" t="str">
        <f t="shared" si="20"/>
        <v>CRITICAL-12</v>
      </c>
      <c r="G92" s="222">
        <f t="shared" si="21"/>
        <v>3</v>
      </c>
      <c r="H92" s="284">
        <f t="shared" ca="1" si="22"/>
        <v>0</v>
      </c>
      <c r="I92" s="284">
        <f t="shared" ca="1" si="23"/>
        <v>0</v>
      </c>
      <c r="J92" s="287" t="s">
        <v>430</v>
      </c>
      <c r="W92" s="278" t="str">
        <f ca="1">AB92&amp;"-"&amp;COUNTIF($AB$2:$AB92,$AB92)</f>
        <v>0-2-0-24</v>
      </c>
      <c r="X92" s="278" t="s">
        <v>430</v>
      </c>
      <c r="Y92" s="289">
        <f t="shared" ca="1" si="24"/>
        <v>0</v>
      </c>
      <c r="Z92" s="271">
        <v>2</v>
      </c>
      <c r="AA92" s="277">
        <f t="shared" ca="1" si="25"/>
        <v>0</v>
      </c>
      <c r="AB92" s="279" t="str">
        <f t="shared" ca="1" si="26"/>
        <v>0-2-0</v>
      </c>
    </row>
    <row r="93" spans="1:28" x14ac:dyDescent="0.25">
      <c r="A93" s="281" t="s">
        <v>60</v>
      </c>
      <c r="B93" s="281" t="s">
        <v>157</v>
      </c>
      <c r="C93" s="281" t="s">
        <v>431</v>
      </c>
      <c r="D93" s="281" t="s">
        <v>14</v>
      </c>
      <c r="E93" s="281">
        <v>2</v>
      </c>
      <c r="F93" s="222" t="str">
        <f t="shared" si="20"/>
        <v>CRITICAL-12</v>
      </c>
      <c r="G93" s="222">
        <f t="shared" si="21"/>
        <v>3</v>
      </c>
      <c r="H93" s="284">
        <f t="shared" ca="1" si="22"/>
        <v>0</v>
      </c>
      <c r="I93" s="284">
        <f t="shared" ca="1" si="23"/>
        <v>0</v>
      </c>
      <c r="J93" s="287" t="s">
        <v>431</v>
      </c>
      <c r="W93" s="278" t="str">
        <f ca="1">AB93&amp;"-"&amp;COUNTIF($AB$2:$AB93,$AB93)</f>
        <v>0-2-0-25</v>
      </c>
      <c r="X93" s="278" t="s">
        <v>431</v>
      </c>
      <c r="Y93" s="289">
        <f t="shared" ca="1" si="24"/>
        <v>0</v>
      </c>
      <c r="Z93" s="271">
        <v>2</v>
      </c>
      <c r="AA93" s="277">
        <f t="shared" ca="1" si="25"/>
        <v>0</v>
      </c>
      <c r="AB93" s="279" t="str">
        <f t="shared" ca="1" si="26"/>
        <v>0-2-0</v>
      </c>
    </row>
    <row r="94" spans="1:28" x14ac:dyDescent="0.25">
      <c r="A94" s="281" t="s">
        <v>60</v>
      </c>
      <c r="B94" s="281" t="s">
        <v>157</v>
      </c>
      <c r="C94" s="281" t="s">
        <v>432</v>
      </c>
      <c r="D94" s="281" t="s">
        <v>15</v>
      </c>
      <c r="E94" s="281">
        <v>3</v>
      </c>
      <c r="F94" s="222" t="str">
        <f t="shared" si="20"/>
        <v>CRITICAL-13</v>
      </c>
      <c r="G94" s="222">
        <f t="shared" si="21"/>
        <v>1</v>
      </c>
      <c r="H94" s="284">
        <f t="shared" ca="1" si="22"/>
        <v>0</v>
      </c>
      <c r="I94" s="284">
        <f t="shared" ca="1" si="23"/>
        <v>0</v>
      </c>
      <c r="J94" s="287" t="s">
        <v>432</v>
      </c>
      <c r="W94" s="278" t="str">
        <f ca="1">AB94&amp;"-"&amp;COUNTIF($AB$2:$AB94,$AB94)</f>
        <v>0-3-0-23</v>
      </c>
      <c r="X94" s="278" t="s">
        <v>432</v>
      </c>
      <c r="Y94" s="289">
        <f t="shared" ca="1" si="24"/>
        <v>0</v>
      </c>
      <c r="Z94" s="271">
        <v>3</v>
      </c>
      <c r="AA94" s="277">
        <f t="shared" ca="1" si="25"/>
        <v>0</v>
      </c>
      <c r="AB94" s="279" t="str">
        <f t="shared" ca="1" si="26"/>
        <v>0-3-0</v>
      </c>
    </row>
    <row r="95" spans="1:28" x14ac:dyDescent="0.25">
      <c r="A95" s="281" t="s">
        <v>60</v>
      </c>
      <c r="B95" s="281" t="s">
        <v>160</v>
      </c>
      <c r="C95" s="281" t="s">
        <v>433</v>
      </c>
      <c r="D95" s="281" t="s">
        <v>20</v>
      </c>
      <c r="E95" s="281">
        <v>1</v>
      </c>
      <c r="F95" s="222" t="str">
        <f t="shared" si="20"/>
        <v>CRITICAL-21</v>
      </c>
      <c r="G95" s="222">
        <f t="shared" si="21"/>
        <v>2</v>
      </c>
      <c r="H95" s="284">
        <f t="shared" ca="1" si="22"/>
        <v>0</v>
      </c>
      <c r="I95" s="284">
        <f t="shared" ca="1" si="23"/>
        <v>0</v>
      </c>
      <c r="J95" s="287" t="s">
        <v>433</v>
      </c>
      <c r="W95" s="278" t="str">
        <f ca="1">AB95&amp;"-"&amp;COUNTIF($AB$2:$AB95,$AB95)</f>
        <v>0-1-0-21</v>
      </c>
      <c r="X95" s="278" t="s">
        <v>433</v>
      </c>
      <c r="Y95" s="289">
        <f t="shared" ca="1" si="24"/>
        <v>0</v>
      </c>
      <c r="Z95" s="271">
        <v>1</v>
      </c>
      <c r="AA95" s="277">
        <f t="shared" ca="1" si="25"/>
        <v>0</v>
      </c>
      <c r="AB95" s="279" t="str">
        <f t="shared" ca="1" si="26"/>
        <v>0-1-0</v>
      </c>
    </row>
    <row r="96" spans="1:28" x14ac:dyDescent="0.25">
      <c r="A96" s="281" t="s">
        <v>60</v>
      </c>
      <c r="B96" s="281" t="s">
        <v>160</v>
      </c>
      <c r="C96" s="281" t="s">
        <v>434</v>
      </c>
      <c r="D96" s="281" t="s">
        <v>21</v>
      </c>
      <c r="E96" s="281">
        <v>1</v>
      </c>
      <c r="F96" s="222" t="str">
        <f t="shared" si="20"/>
        <v>CRITICAL-21</v>
      </c>
      <c r="G96" s="222">
        <f t="shared" si="21"/>
        <v>2</v>
      </c>
      <c r="H96" s="284">
        <f t="shared" ca="1" si="22"/>
        <v>0</v>
      </c>
      <c r="I96" s="284">
        <f t="shared" ca="1" si="23"/>
        <v>0</v>
      </c>
      <c r="J96" s="287" t="s">
        <v>434</v>
      </c>
      <c r="W96" s="278" t="str">
        <f ca="1">AB96&amp;"-"&amp;COUNTIF($AB$2:$AB96,$AB96)</f>
        <v>0-1-0-22</v>
      </c>
      <c r="X96" s="278" t="s">
        <v>434</v>
      </c>
      <c r="Y96" s="289">
        <f t="shared" ca="1" si="24"/>
        <v>0</v>
      </c>
      <c r="Z96" s="271">
        <v>1</v>
      </c>
      <c r="AA96" s="277">
        <f t="shared" ca="1" si="25"/>
        <v>0</v>
      </c>
      <c r="AB96" s="279" t="str">
        <f t="shared" ca="1" si="26"/>
        <v>0-1-0</v>
      </c>
    </row>
    <row r="97" spans="1:28" x14ac:dyDescent="0.25">
      <c r="A97" s="281" t="s">
        <v>60</v>
      </c>
      <c r="B97" s="281" t="s">
        <v>160</v>
      </c>
      <c r="C97" s="281" t="s">
        <v>435</v>
      </c>
      <c r="D97" s="281" t="s">
        <v>22</v>
      </c>
      <c r="E97" s="281">
        <v>2</v>
      </c>
      <c r="F97" s="222" t="str">
        <f t="shared" si="20"/>
        <v>CRITICAL-22</v>
      </c>
      <c r="G97" s="222">
        <f t="shared" si="21"/>
        <v>7</v>
      </c>
      <c r="H97" s="284">
        <f t="shared" ca="1" si="22"/>
        <v>0</v>
      </c>
      <c r="I97" s="284">
        <f t="shared" ca="1" si="23"/>
        <v>0</v>
      </c>
      <c r="J97" s="287" t="s">
        <v>435</v>
      </c>
      <c r="W97" s="278" t="str">
        <f ca="1">AB97&amp;"-"&amp;COUNTIF($AB$2:$AB97,$AB97)</f>
        <v>0-2-0-26</v>
      </c>
      <c r="X97" s="278" t="s">
        <v>435</v>
      </c>
      <c r="Y97" s="289">
        <f t="shared" ca="1" si="24"/>
        <v>0</v>
      </c>
      <c r="Z97" s="271">
        <v>2</v>
      </c>
      <c r="AA97" s="277">
        <f t="shared" ca="1" si="25"/>
        <v>0</v>
      </c>
      <c r="AB97" s="279" t="str">
        <f t="shared" ca="1" si="26"/>
        <v>0-2-0</v>
      </c>
    </row>
    <row r="98" spans="1:28" x14ac:dyDescent="0.25">
      <c r="A98" s="281" t="s">
        <v>60</v>
      </c>
      <c r="B98" s="281" t="s">
        <v>160</v>
      </c>
      <c r="C98" s="281" t="s">
        <v>436</v>
      </c>
      <c r="D98" s="281" t="s">
        <v>23</v>
      </c>
      <c r="E98" s="281">
        <v>2</v>
      </c>
      <c r="F98" s="222" t="str">
        <f t="shared" si="20"/>
        <v>CRITICAL-22</v>
      </c>
      <c r="G98" s="222">
        <f t="shared" si="21"/>
        <v>7</v>
      </c>
      <c r="H98" s="284">
        <f t="shared" ca="1" si="22"/>
        <v>0</v>
      </c>
      <c r="I98" s="284">
        <f t="shared" ca="1" si="23"/>
        <v>0</v>
      </c>
      <c r="J98" s="287" t="s">
        <v>436</v>
      </c>
      <c r="W98" s="278" t="str">
        <f ca="1">AB98&amp;"-"&amp;COUNTIF($AB$2:$AB98,$AB98)</f>
        <v>0-2-0-27</v>
      </c>
      <c r="X98" s="278" t="s">
        <v>436</v>
      </c>
      <c r="Y98" s="289">
        <f t="shared" ref="Y98:Y129" ca="1" si="27">VLOOKUP(LEFT($X98,LEN($X98)-1),$K:$O,5,FALSE)</f>
        <v>0</v>
      </c>
      <c r="Z98" s="271">
        <v>2</v>
      </c>
      <c r="AA98" s="277">
        <f t="shared" ca="1" si="25"/>
        <v>0</v>
      </c>
      <c r="AB98" s="279" t="str">
        <f t="shared" ca="1" si="26"/>
        <v>0-2-0</v>
      </c>
    </row>
    <row r="99" spans="1:28" x14ac:dyDescent="0.25">
      <c r="A99" s="281" t="s">
        <v>60</v>
      </c>
      <c r="B99" s="281" t="s">
        <v>160</v>
      </c>
      <c r="C99" s="281" t="s">
        <v>437</v>
      </c>
      <c r="D99" s="281" t="s">
        <v>24</v>
      </c>
      <c r="E99" s="281">
        <v>2</v>
      </c>
      <c r="F99" s="222" t="str">
        <f t="shared" si="20"/>
        <v>CRITICAL-22</v>
      </c>
      <c r="G99" s="222">
        <f t="shared" si="21"/>
        <v>7</v>
      </c>
      <c r="H99" s="284">
        <f t="shared" ca="1" si="22"/>
        <v>0</v>
      </c>
      <c r="I99" s="284">
        <f t="shared" ca="1" si="23"/>
        <v>0</v>
      </c>
      <c r="J99" s="287" t="s">
        <v>437</v>
      </c>
      <c r="W99" s="278" t="str">
        <f ca="1">AB99&amp;"-"&amp;COUNTIF($AB$2:$AB99,$AB99)</f>
        <v>0-2-0-28</v>
      </c>
      <c r="X99" s="278" t="s">
        <v>437</v>
      </c>
      <c r="Y99" s="289">
        <f t="shared" ca="1" si="27"/>
        <v>0</v>
      </c>
      <c r="Z99" s="271">
        <v>2</v>
      </c>
      <c r="AA99" s="277">
        <f t="shared" ca="1" si="25"/>
        <v>0</v>
      </c>
      <c r="AB99" s="279" t="str">
        <f t="shared" ca="1" si="26"/>
        <v>0-2-0</v>
      </c>
    </row>
    <row r="100" spans="1:28" x14ac:dyDescent="0.25">
      <c r="A100" s="281" t="s">
        <v>60</v>
      </c>
      <c r="B100" s="281" t="s">
        <v>160</v>
      </c>
      <c r="C100" s="281" t="s">
        <v>438</v>
      </c>
      <c r="D100" s="281" t="s">
        <v>112</v>
      </c>
      <c r="E100" s="281">
        <v>2</v>
      </c>
      <c r="F100" s="222" t="str">
        <f t="shared" si="20"/>
        <v>CRITICAL-22</v>
      </c>
      <c r="G100" s="222">
        <f t="shared" si="21"/>
        <v>7</v>
      </c>
      <c r="H100" s="284">
        <f t="shared" ca="1" si="22"/>
        <v>0</v>
      </c>
      <c r="I100" s="284">
        <f t="shared" ca="1" si="23"/>
        <v>0</v>
      </c>
      <c r="J100" s="287" t="s">
        <v>438</v>
      </c>
      <c r="W100" s="278" t="str">
        <f ca="1">AB100&amp;"-"&amp;COUNTIF($AB$2:$AB100,$AB100)</f>
        <v>0-2-0-29</v>
      </c>
      <c r="X100" s="278" t="s">
        <v>438</v>
      </c>
      <c r="Y100" s="289">
        <f t="shared" ca="1" si="27"/>
        <v>0</v>
      </c>
      <c r="Z100" s="271">
        <v>2</v>
      </c>
      <c r="AA100" s="277">
        <f t="shared" ca="1" si="25"/>
        <v>0</v>
      </c>
      <c r="AB100" s="279" t="str">
        <f t="shared" ca="1" si="26"/>
        <v>0-2-0</v>
      </c>
    </row>
    <row r="101" spans="1:28" x14ac:dyDescent="0.25">
      <c r="A101" s="281" t="s">
        <v>60</v>
      </c>
      <c r="B101" s="281" t="s">
        <v>160</v>
      </c>
      <c r="C101" s="281" t="s">
        <v>439</v>
      </c>
      <c r="D101" s="281" t="s">
        <v>176</v>
      </c>
      <c r="E101" s="281">
        <v>2</v>
      </c>
      <c r="F101" s="222" t="str">
        <f t="shared" si="20"/>
        <v>CRITICAL-22</v>
      </c>
      <c r="G101" s="222">
        <f t="shared" si="21"/>
        <v>7</v>
      </c>
      <c r="H101" s="284">
        <f t="shared" ca="1" si="22"/>
        <v>0</v>
      </c>
      <c r="I101" s="284">
        <f t="shared" ca="1" si="23"/>
        <v>0</v>
      </c>
      <c r="J101" s="287" t="s">
        <v>439</v>
      </c>
      <c r="W101" s="278" t="str">
        <f ca="1">AB101&amp;"-"&amp;COUNTIF($AB$2:$AB101,$AB101)</f>
        <v>0-2-0-30</v>
      </c>
      <c r="X101" s="278" t="s">
        <v>439</v>
      </c>
      <c r="Y101" s="289">
        <f t="shared" ca="1" si="27"/>
        <v>0</v>
      </c>
      <c r="Z101" s="271">
        <v>2</v>
      </c>
      <c r="AA101" s="277">
        <f t="shared" ca="1" si="25"/>
        <v>0</v>
      </c>
      <c r="AB101" s="279" t="str">
        <f t="shared" ca="1" si="26"/>
        <v>0-2-0</v>
      </c>
    </row>
    <row r="102" spans="1:28" x14ac:dyDescent="0.25">
      <c r="A102" s="281" t="s">
        <v>60</v>
      </c>
      <c r="B102" s="281" t="s">
        <v>160</v>
      </c>
      <c r="C102" s="281" t="s">
        <v>440</v>
      </c>
      <c r="D102" s="281" t="s">
        <v>178</v>
      </c>
      <c r="E102" s="281">
        <v>2</v>
      </c>
      <c r="F102" s="222" t="str">
        <f t="shared" si="20"/>
        <v>CRITICAL-22</v>
      </c>
      <c r="G102" s="222">
        <f t="shared" si="21"/>
        <v>7</v>
      </c>
      <c r="H102" s="284">
        <f t="shared" ca="1" si="22"/>
        <v>0</v>
      </c>
      <c r="I102" s="284">
        <f t="shared" ca="1" si="23"/>
        <v>0</v>
      </c>
      <c r="J102" s="287" t="s">
        <v>440</v>
      </c>
      <c r="W102" s="278" t="str">
        <f ca="1">AB102&amp;"-"&amp;COUNTIF($AB$2:$AB102,$AB102)</f>
        <v>0-2-0-31</v>
      </c>
      <c r="X102" s="278" t="s">
        <v>440</v>
      </c>
      <c r="Y102" s="289">
        <f t="shared" ca="1" si="27"/>
        <v>0</v>
      </c>
      <c r="Z102" s="271">
        <v>2</v>
      </c>
      <c r="AA102" s="277">
        <f t="shared" ca="1" si="25"/>
        <v>0</v>
      </c>
      <c r="AB102" s="279" t="str">
        <f t="shared" ca="1" si="26"/>
        <v>0-2-0</v>
      </c>
    </row>
    <row r="103" spans="1:28" x14ac:dyDescent="0.25">
      <c r="A103" s="281" t="s">
        <v>60</v>
      </c>
      <c r="B103" s="281" t="s">
        <v>160</v>
      </c>
      <c r="C103" s="281" t="s">
        <v>441</v>
      </c>
      <c r="D103" s="281" t="s">
        <v>209</v>
      </c>
      <c r="E103" s="281">
        <v>2</v>
      </c>
      <c r="F103" s="222" t="str">
        <f t="shared" si="20"/>
        <v>CRITICAL-22</v>
      </c>
      <c r="G103" s="222">
        <f t="shared" si="21"/>
        <v>7</v>
      </c>
      <c r="H103" s="284">
        <f t="shared" ca="1" si="22"/>
        <v>0</v>
      </c>
      <c r="I103" s="284">
        <f t="shared" ca="1" si="23"/>
        <v>0</v>
      </c>
      <c r="J103" s="287" t="s">
        <v>441</v>
      </c>
      <c r="W103" s="278" t="str">
        <f ca="1">AB103&amp;"-"&amp;COUNTIF($AB$2:$AB103,$AB103)</f>
        <v>0-2-0-32</v>
      </c>
      <c r="X103" s="278" t="s">
        <v>441</v>
      </c>
      <c r="Y103" s="289">
        <f t="shared" ca="1" si="27"/>
        <v>0</v>
      </c>
      <c r="Z103" s="271">
        <v>2</v>
      </c>
      <c r="AA103" s="277">
        <f t="shared" ca="1" si="25"/>
        <v>0</v>
      </c>
      <c r="AB103" s="279" t="str">
        <f t="shared" ca="1" si="26"/>
        <v>0-2-0</v>
      </c>
    </row>
    <row r="104" spans="1:28" x14ac:dyDescent="0.25">
      <c r="A104" s="281" t="s">
        <v>60</v>
      </c>
      <c r="B104" s="281" t="s">
        <v>160</v>
      </c>
      <c r="C104" s="281" t="s">
        <v>442</v>
      </c>
      <c r="D104" s="281" t="s">
        <v>211</v>
      </c>
      <c r="E104" s="281">
        <v>3</v>
      </c>
      <c r="F104" s="222" t="str">
        <f t="shared" si="20"/>
        <v>CRITICAL-23</v>
      </c>
      <c r="G104" s="222">
        <f t="shared" si="21"/>
        <v>2</v>
      </c>
      <c r="H104" s="284">
        <f t="shared" ca="1" si="22"/>
        <v>0</v>
      </c>
      <c r="I104" s="284">
        <f t="shared" ca="1" si="23"/>
        <v>0</v>
      </c>
      <c r="J104" s="287" t="s">
        <v>442</v>
      </c>
      <c r="W104" s="278" t="str">
        <f ca="1">AB104&amp;"-"&amp;COUNTIF($AB$2:$AB104,$AB104)</f>
        <v>0-3-0-24</v>
      </c>
      <c r="X104" s="278" t="s">
        <v>442</v>
      </c>
      <c r="Y104" s="289">
        <f t="shared" ca="1" si="27"/>
        <v>0</v>
      </c>
      <c r="Z104" s="271">
        <v>3</v>
      </c>
      <c r="AA104" s="277">
        <f t="shared" ca="1" si="25"/>
        <v>0</v>
      </c>
      <c r="AB104" s="279" t="str">
        <f t="shared" ca="1" si="26"/>
        <v>0-3-0</v>
      </c>
    </row>
    <row r="105" spans="1:28" x14ac:dyDescent="0.25">
      <c r="A105" s="281" t="s">
        <v>60</v>
      </c>
      <c r="B105" s="281" t="s">
        <v>160</v>
      </c>
      <c r="C105" s="281" t="s">
        <v>443</v>
      </c>
      <c r="D105" s="281" t="s">
        <v>213</v>
      </c>
      <c r="E105" s="281">
        <v>3</v>
      </c>
      <c r="F105" s="222" t="str">
        <f t="shared" si="20"/>
        <v>CRITICAL-23</v>
      </c>
      <c r="G105" s="222">
        <f t="shared" si="21"/>
        <v>2</v>
      </c>
      <c r="H105" s="284">
        <f t="shared" ca="1" si="22"/>
        <v>0</v>
      </c>
      <c r="I105" s="284">
        <f t="shared" ca="1" si="23"/>
        <v>0</v>
      </c>
      <c r="J105" s="287" t="s">
        <v>443</v>
      </c>
      <c r="W105" s="278" t="str">
        <f ca="1">AB105&amp;"-"&amp;COUNTIF($AB$2:$AB105,$AB105)</f>
        <v>0-3-0-25</v>
      </c>
      <c r="X105" s="278" t="s">
        <v>443</v>
      </c>
      <c r="Y105" s="289">
        <f t="shared" ca="1" si="27"/>
        <v>0</v>
      </c>
      <c r="Z105" s="271">
        <v>3</v>
      </c>
      <c r="AA105" s="277">
        <f t="shared" ca="1" si="25"/>
        <v>0</v>
      </c>
      <c r="AB105" s="279" t="str">
        <f t="shared" ca="1" si="26"/>
        <v>0-3-0</v>
      </c>
    </row>
    <row r="106" spans="1:28" x14ac:dyDescent="0.25">
      <c r="A106" s="281" t="s">
        <v>60</v>
      </c>
      <c r="B106" s="281" t="s">
        <v>162</v>
      </c>
      <c r="C106" s="281" t="s">
        <v>444</v>
      </c>
      <c r="D106" s="281" t="s">
        <v>25</v>
      </c>
      <c r="E106" s="281">
        <v>1</v>
      </c>
      <c r="F106" s="222" t="str">
        <f t="shared" si="20"/>
        <v>CRITICAL-31</v>
      </c>
      <c r="G106" s="222">
        <f t="shared" si="21"/>
        <v>4</v>
      </c>
      <c r="H106" s="284">
        <f t="shared" ca="1" si="22"/>
        <v>0</v>
      </c>
      <c r="I106" s="284">
        <f t="shared" ca="1" si="23"/>
        <v>0</v>
      </c>
      <c r="J106" s="287" t="s">
        <v>444</v>
      </c>
      <c r="W106" s="278" t="str">
        <f ca="1">AB106&amp;"-"&amp;COUNTIF($AB$2:$AB106,$AB106)</f>
        <v>0-1-0-23</v>
      </c>
      <c r="X106" s="278" t="s">
        <v>444</v>
      </c>
      <c r="Y106" s="289">
        <f t="shared" ca="1" si="27"/>
        <v>0</v>
      </c>
      <c r="Z106" s="271">
        <v>1</v>
      </c>
      <c r="AA106" s="277">
        <f t="shared" ca="1" si="25"/>
        <v>0</v>
      </c>
      <c r="AB106" s="279" t="str">
        <f t="shared" ca="1" si="26"/>
        <v>0-1-0</v>
      </c>
    </row>
    <row r="107" spans="1:28" x14ac:dyDescent="0.25">
      <c r="A107" s="281" t="s">
        <v>60</v>
      </c>
      <c r="B107" s="281" t="s">
        <v>162</v>
      </c>
      <c r="C107" s="281" t="s">
        <v>445</v>
      </c>
      <c r="D107" s="281" t="s">
        <v>26</v>
      </c>
      <c r="E107" s="281">
        <v>1</v>
      </c>
      <c r="F107" s="222" t="str">
        <f t="shared" si="20"/>
        <v>CRITICAL-31</v>
      </c>
      <c r="G107" s="222">
        <f t="shared" si="21"/>
        <v>4</v>
      </c>
      <c r="H107" s="284">
        <f t="shared" ca="1" si="22"/>
        <v>0</v>
      </c>
      <c r="I107" s="284">
        <f t="shared" ca="1" si="23"/>
        <v>0</v>
      </c>
      <c r="J107" s="287" t="s">
        <v>445</v>
      </c>
      <c r="W107" s="278" t="str">
        <f ca="1">AB107&amp;"-"&amp;COUNTIF($AB$2:$AB107,$AB107)</f>
        <v>0-1-0-24</v>
      </c>
      <c r="X107" s="278" t="s">
        <v>445</v>
      </c>
      <c r="Y107" s="289">
        <f t="shared" ca="1" si="27"/>
        <v>0</v>
      </c>
      <c r="Z107" s="271">
        <v>1</v>
      </c>
      <c r="AA107" s="277">
        <f t="shared" ca="1" si="25"/>
        <v>0</v>
      </c>
      <c r="AB107" s="279" t="str">
        <f t="shared" ca="1" si="26"/>
        <v>0-1-0</v>
      </c>
    </row>
    <row r="108" spans="1:28" x14ac:dyDescent="0.25">
      <c r="A108" s="281" t="s">
        <v>60</v>
      </c>
      <c r="B108" s="281" t="s">
        <v>162</v>
      </c>
      <c r="C108" s="281" t="s">
        <v>446</v>
      </c>
      <c r="D108" s="281" t="s">
        <v>27</v>
      </c>
      <c r="E108" s="281">
        <v>1</v>
      </c>
      <c r="F108" s="222" t="str">
        <f t="shared" si="20"/>
        <v>CRITICAL-31</v>
      </c>
      <c r="G108" s="222">
        <f t="shared" si="21"/>
        <v>4</v>
      </c>
      <c r="H108" s="284">
        <f t="shared" ca="1" si="22"/>
        <v>0</v>
      </c>
      <c r="I108" s="284">
        <f t="shared" ca="1" si="23"/>
        <v>0</v>
      </c>
      <c r="J108" s="287" t="s">
        <v>446</v>
      </c>
      <c r="W108" s="278" t="str">
        <f ca="1">AB108&amp;"-"&amp;COUNTIF($AB$2:$AB108,$AB108)</f>
        <v>0-1-0-25</v>
      </c>
      <c r="X108" s="278" t="s">
        <v>446</v>
      </c>
      <c r="Y108" s="289">
        <f t="shared" ca="1" si="27"/>
        <v>0</v>
      </c>
      <c r="Z108" s="271">
        <v>1</v>
      </c>
      <c r="AA108" s="277">
        <f t="shared" ca="1" si="25"/>
        <v>0</v>
      </c>
      <c r="AB108" s="279" t="str">
        <f t="shared" ca="1" si="26"/>
        <v>0-1-0</v>
      </c>
    </row>
    <row r="109" spans="1:28" x14ac:dyDescent="0.25">
      <c r="A109" s="281" t="s">
        <v>60</v>
      </c>
      <c r="B109" s="281" t="s">
        <v>162</v>
      </c>
      <c r="C109" s="281" t="s">
        <v>447</v>
      </c>
      <c r="D109" s="281" t="s">
        <v>28</v>
      </c>
      <c r="E109" s="281">
        <v>1</v>
      </c>
      <c r="F109" s="222" t="str">
        <f t="shared" si="20"/>
        <v>CRITICAL-31</v>
      </c>
      <c r="G109" s="222">
        <f t="shared" si="21"/>
        <v>4</v>
      </c>
      <c r="H109" s="284">
        <f t="shared" ca="1" si="22"/>
        <v>0</v>
      </c>
      <c r="I109" s="284">
        <f t="shared" ca="1" si="23"/>
        <v>0</v>
      </c>
      <c r="J109" s="287" t="s">
        <v>447</v>
      </c>
      <c r="W109" s="278" t="str">
        <f ca="1">AB109&amp;"-"&amp;COUNTIF($AB$2:$AB109,$AB109)</f>
        <v>0-1-0-26</v>
      </c>
      <c r="X109" s="278" t="s">
        <v>447</v>
      </c>
      <c r="Y109" s="289">
        <f t="shared" ca="1" si="27"/>
        <v>0</v>
      </c>
      <c r="Z109" s="271">
        <v>1</v>
      </c>
      <c r="AA109" s="277">
        <f t="shared" ca="1" si="25"/>
        <v>0</v>
      </c>
      <c r="AB109" s="279" t="str">
        <f t="shared" ca="1" si="26"/>
        <v>0-1-0</v>
      </c>
    </row>
    <row r="110" spans="1:28" x14ac:dyDescent="0.25">
      <c r="A110" s="281" t="s">
        <v>60</v>
      </c>
      <c r="B110" s="281" t="s">
        <v>162</v>
      </c>
      <c r="C110" s="281" t="s">
        <v>448</v>
      </c>
      <c r="D110" s="281" t="s">
        <v>29</v>
      </c>
      <c r="E110" s="281">
        <v>2</v>
      </c>
      <c r="F110" s="222" t="str">
        <f t="shared" si="20"/>
        <v>CRITICAL-32</v>
      </c>
      <c r="G110" s="222">
        <f t="shared" si="21"/>
        <v>2</v>
      </c>
      <c r="H110" s="284">
        <f t="shared" ca="1" si="22"/>
        <v>0</v>
      </c>
      <c r="I110" s="284">
        <f t="shared" ca="1" si="23"/>
        <v>0</v>
      </c>
      <c r="J110" s="287" t="s">
        <v>448</v>
      </c>
      <c r="W110" s="278" t="str">
        <f ca="1">AB110&amp;"-"&amp;COUNTIF($AB$2:$AB110,$AB110)</f>
        <v>0-2-0-33</v>
      </c>
      <c r="X110" s="278" t="s">
        <v>448</v>
      </c>
      <c r="Y110" s="289">
        <f t="shared" ca="1" si="27"/>
        <v>0</v>
      </c>
      <c r="Z110" s="271">
        <v>2</v>
      </c>
      <c r="AA110" s="277">
        <f t="shared" ca="1" si="25"/>
        <v>0</v>
      </c>
      <c r="AB110" s="279" t="str">
        <f t="shared" ca="1" si="26"/>
        <v>0-2-0</v>
      </c>
    </row>
    <row r="111" spans="1:28" x14ac:dyDescent="0.25">
      <c r="A111" s="281" t="s">
        <v>60</v>
      </c>
      <c r="B111" s="281" t="s">
        <v>162</v>
      </c>
      <c r="C111" s="281" t="s">
        <v>449</v>
      </c>
      <c r="D111" s="281" t="s">
        <v>30</v>
      </c>
      <c r="E111" s="281">
        <v>2</v>
      </c>
      <c r="F111" s="222" t="str">
        <f t="shared" si="20"/>
        <v>CRITICAL-32</v>
      </c>
      <c r="G111" s="222">
        <f t="shared" si="21"/>
        <v>2</v>
      </c>
      <c r="H111" s="284">
        <f t="shared" ca="1" si="22"/>
        <v>0</v>
      </c>
      <c r="I111" s="284">
        <f t="shared" ca="1" si="23"/>
        <v>0</v>
      </c>
      <c r="J111" s="287" t="s">
        <v>449</v>
      </c>
      <c r="W111" s="278" t="str">
        <f ca="1">AB111&amp;"-"&amp;COUNTIF($AB$2:$AB111,$AB111)</f>
        <v>0-2-0-34</v>
      </c>
      <c r="X111" s="278" t="s">
        <v>449</v>
      </c>
      <c r="Y111" s="289">
        <f t="shared" ca="1" si="27"/>
        <v>0</v>
      </c>
      <c r="Z111" s="271">
        <v>2</v>
      </c>
      <c r="AA111" s="277">
        <f t="shared" ca="1" si="25"/>
        <v>0</v>
      </c>
      <c r="AB111" s="279" t="str">
        <f t="shared" ca="1" si="26"/>
        <v>0-2-0</v>
      </c>
    </row>
    <row r="112" spans="1:28" x14ac:dyDescent="0.25">
      <c r="A112" s="281" t="s">
        <v>60</v>
      </c>
      <c r="B112" s="281" t="s">
        <v>162</v>
      </c>
      <c r="C112" s="281" t="s">
        <v>450</v>
      </c>
      <c r="D112" s="281" t="s">
        <v>31</v>
      </c>
      <c r="E112" s="281">
        <v>3</v>
      </c>
      <c r="F112" s="222" t="str">
        <f t="shared" si="20"/>
        <v>CRITICAL-33</v>
      </c>
      <c r="G112" s="222">
        <f t="shared" si="21"/>
        <v>2</v>
      </c>
      <c r="H112" s="284">
        <f t="shared" ca="1" si="22"/>
        <v>0</v>
      </c>
      <c r="I112" s="284">
        <f t="shared" ca="1" si="23"/>
        <v>0</v>
      </c>
      <c r="J112" s="287" t="s">
        <v>450</v>
      </c>
      <c r="W112" s="278" t="str">
        <f ca="1">AB112&amp;"-"&amp;COUNTIF($AB$2:$AB112,$AB112)</f>
        <v>0-3-0-26</v>
      </c>
      <c r="X112" s="278" t="s">
        <v>450</v>
      </c>
      <c r="Y112" s="289">
        <f t="shared" ca="1" si="27"/>
        <v>0</v>
      </c>
      <c r="Z112" s="271">
        <v>3</v>
      </c>
      <c r="AA112" s="277">
        <f t="shared" ca="1" si="25"/>
        <v>0</v>
      </c>
      <c r="AB112" s="279" t="str">
        <f t="shared" ca="1" si="26"/>
        <v>0-3-0</v>
      </c>
    </row>
    <row r="113" spans="1:28" x14ac:dyDescent="0.25">
      <c r="A113" s="281" t="s">
        <v>60</v>
      </c>
      <c r="B113" s="281" t="s">
        <v>162</v>
      </c>
      <c r="C113" s="281" t="s">
        <v>451</v>
      </c>
      <c r="D113" s="281" t="s">
        <v>247</v>
      </c>
      <c r="E113" s="281">
        <v>3</v>
      </c>
      <c r="F113" s="222" t="str">
        <f t="shared" si="20"/>
        <v>CRITICAL-33</v>
      </c>
      <c r="G113" s="222">
        <f t="shared" si="21"/>
        <v>2</v>
      </c>
      <c r="H113" s="284">
        <f t="shared" ca="1" si="22"/>
        <v>0</v>
      </c>
      <c r="I113" s="284">
        <f t="shared" ca="1" si="23"/>
        <v>0</v>
      </c>
      <c r="J113" s="287" t="s">
        <v>451</v>
      </c>
      <c r="W113" s="278" t="str">
        <f ca="1">AB113&amp;"-"&amp;COUNTIF($AB$2:$AB113,$AB113)</f>
        <v>0-3-0-27</v>
      </c>
      <c r="X113" s="278" t="s">
        <v>451</v>
      </c>
      <c r="Y113" s="289">
        <f t="shared" ca="1" si="27"/>
        <v>0</v>
      </c>
      <c r="Z113" s="271">
        <v>3</v>
      </c>
      <c r="AA113" s="277">
        <f t="shared" ca="1" si="25"/>
        <v>0</v>
      </c>
      <c r="AB113" s="279" t="str">
        <f t="shared" ca="1" si="26"/>
        <v>0-3-0</v>
      </c>
    </row>
    <row r="114" spans="1:28" x14ac:dyDescent="0.25">
      <c r="A114" s="281" t="s">
        <v>77</v>
      </c>
      <c r="B114" s="281" t="s">
        <v>105</v>
      </c>
      <c r="C114" s="281" t="s">
        <v>290</v>
      </c>
      <c r="D114" s="281" t="s">
        <v>7</v>
      </c>
      <c r="E114" s="281">
        <v>1</v>
      </c>
      <c r="F114" s="222" t="str">
        <f t="shared" si="20"/>
        <v>DEPENDENCIES-11</v>
      </c>
      <c r="G114" s="222">
        <f t="shared" si="21"/>
        <v>2</v>
      </c>
      <c r="H114" s="284">
        <f t="shared" ca="1" si="22"/>
        <v>0</v>
      </c>
      <c r="I114" s="284">
        <f t="shared" ca="1" si="23"/>
        <v>0</v>
      </c>
      <c r="J114" s="287" t="s">
        <v>290</v>
      </c>
      <c r="W114" s="278" t="str">
        <f ca="1">AB114&amp;"-"&amp;COUNTIF($AB$2:$AB114,$AB114)</f>
        <v>0-1-0-27</v>
      </c>
      <c r="X114" s="278" t="s">
        <v>290</v>
      </c>
      <c r="Y114" s="289">
        <f t="shared" ca="1" si="27"/>
        <v>0</v>
      </c>
      <c r="Z114" s="271">
        <v>1</v>
      </c>
      <c r="AA114" s="277">
        <f t="shared" ca="1" si="25"/>
        <v>0</v>
      </c>
      <c r="AB114" s="279" t="str">
        <f t="shared" ca="1" si="26"/>
        <v>0-1-0</v>
      </c>
    </row>
    <row r="115" spans="1:28" x14ac:dyDescent="0.25">
      <c r="A115" s="281" t="s">
        <v>77</v>
      </c>
      <c r="B115" s="281" t="s">
        <v>105</v>
      </c>
      <c r="C115" s="281" t="s">
        <v>291</v>
      </c>
      <c r="D115" s="281" t="s">
        <v>9</v>
      </c>
      <c r="E115" s="281">
        <v>1</v>
      </c>
      <c r="F115" s="222" t="str">
        <f t="shared" si="20"/>
        <v>DEPENDENCIES-11</v>
      </c>
      <c r="G115" s="222">
        <f t="shared" si="21"/>
        <v>2</v>
      </c>
      <c r="H115" s="284">
        <f t="shared" ca="1" si="22"/>
        <v>0</v>
      </c>
      <c r="I115" s="284">
        <f t="shared" ca="1" si="23"/>
        <v>0</v>
      </c>
      <c r="J115" s="287" t="s">
        <v>291</v>
      </c>
      <c r="W115" s="278" t="str">
        <f ca="1">AB115&amp;"-"&amp;COUNTIF($AB$2:$AB115,$AB115)</f>
        <v>0-1-0-28</v>
      </c>
      <c r="X115" s="278" t="s">
        <v>291</v>
      </c>
      <c r="Y115" s="289">
        <f t="shared" ca="1" si="27"/>
        <v>0</v>
      </c>
      <c r="Z115" s="271">
        <v>1</v>
      </c>
      <c r="AA115" s="277">
        <f t="shared" ca="1" si="25"/>
        <v>0</v>
      </c>
      <c r="AB115" s="279" t="str">
        <f t="shared" ca="1" si="26"/>
        <v>0-1-0</v>
      </c>
    </row>
    <row r="116" spans="1:28" x14ac:dyDescent="0.25">
      <c r="A116" s="281" t="s">
        <v>77</v>
      </c>
      <c r="B116" s="281" t="s">
        <v>105</v>
      </c>
      <c r="C116" s="281" t="s">
        <v>292</v>
      </c>
      <c r="D116" s="281" t="s">
        <v>10</v>
      </c>
      <c r="E116" s="281">
        <v>2</v>
      </c>
      <c r="F116" s="222" t="str">
        <f t="shared" si="20"/>
        <v>DEPENDENCIES-12</v>
      </c>
      <c r="G116" s="222">
        <f t="shared" si="21"/>
        <v>4</v>
      </c>
      <c r="H116" s="284">
        <f t="shared" ca="1" si="22"/>
        <v>0</v>
      </c>
      <c r="I116" s="284">
        <f t="shared" ca="1" si="23"/>
        <v>0</v>
      </c>
      <c r="J116" s="287" t="s">
        <v>292</v>
      </c>
      <c r="W116" s="278" t="str">
        <f ca="1">AB116&amp;"-"&amp;COUNTIF($AB$2:$AB116,$AB116)</f>
        <v>0-2-0-35</v>
      </c>
      <c r="X116" s="278" t="s">
        <v>292</v>
      </c>
      <c r="Y116" s="289">
        <f t="shared" ca="1" si="27"/>
        <v>0</v>
      </c>
      <c r="Z116" s="271">
        <v>2</v>
      </c>
      <c r="AA116" s="277">
        <f t="shared" ca="1" si="25"/>
        <v>0</v>
      </c>
      <c r="AB116" s="279" t="str">
        <f t="shared" ca="1" si="26"/>
        <v>0-2-0</v>
      </c>
    </row>
    <row r="117" spans="1:28" x14ac:dyDescent="0.25">
      <c r="A117" s="281" t="s">
        <v>77</v>
      </c>
      <c r="B117" s="281" t="s">
        <v>105</v>
      </c>
      <c r="C117" s="281" t="s">
        <v>293</v>
      </c>
      <c r="D117" s="281" t="s">
        <v>11</v>
      </c>
      <c r="E117" s="281">
        <v>2</v>
      </c>
      <c r="F117" s="222" t="str">
        <f t="shared" si="20"/>
        <v>DEPENDENCIES-12</v>
      </c>
      <c r="G117" s="222">
        <f t="shared" si="21"/>
        <v>4</v>
      </c>
      <c r="H117" s="284">
        <f t="shared" ca="1" si="22"/>
        <v>0</v>
      </c>
      <c r="I117" s="284">
        <f t="shared" ca="1" si="23"/>
        <v>0</v>
      </c>
      <c r="J117" s="287" t="s">
        <v>293</v>
      </c>
      <c r="W117" s="278" t="str">
        <f ca="1">AB117&amp;"-"&amp;COUNTIF($AB$2:$AB117,$AB117)</f>
        <v>0-2-0-36</v>
      </c>
      <c r="X117" s="278" t="s">
        <v>293</v>
      </c>
      <c r="Y117" s="289">
        <f t="shared" ca="1" si="27"/>
        <v>0</v>
      </c>
      <c r="Z117" s="271">
        <v>2</v>
      </c>
      <c r="AA117" s="277">
        <f t="shared" ca="1" si="25"/>
        <v>0</v>
      </c>
      <c r="AB117" s="279" t="str">
        <f t="shared" ca="1" si="26"/>
        <v>0-2-0</v>
      </c>
    </row>
    <row r="118" spans="1:28" x14ac:dyDescent="0.25">
      <c r="A118" s="281" t="s">
        <v>77</v>
      </c>
      <c r="B118" s="281" t="s">
        <v>105</v>
      </c>
      <c r="C118" s="281" t="s">
        <v>294</v>
      </c>
      <c r="D118" s="281" t="s">
        <v>12</v>
      </c>
      <c r="E118" s="281">
        <v>2</v>
      </c>
      <c r="F118" s="222" t="str">
        <f t="shared" si="20"/>
        <v>DEPENDENCIES-12</v>
      </c>
      <c r="G118" s="222">
        <f t="shared" si="21"/>
        <v>4</v>
      </c>
      <c r="H118" s="284">
        <f t="shared" ca="1" si="22"/>
        <v>0</v>
      </c>
      <c r="I118" s="284">
        <f t="shared" ca="1" si="23"/>
        <v>0</v>
      </c>
      <c r="J118" s="287" t="s">
        <v>294</v>
      </c>
      <c r="W118" s="278" t="str">
        <f ca="1">AB118&amp;"-"&amp;COUNTIF($AB$2:$AB118,$AB118)</f>
        <v>0-2-0-37</v>
      </c>
      <c r="X118" s="278" t="s">
        <v>294</v>
      </c>
      <c r="Y118" s="289">
        <f t="shared" ca="1" si="27"/>
        <v>0</v>
      </c>
      <c r="Z118" s="271">
        <v>2</v>
      </c>
      <c r="AA118" s="277">
        <f t="shared" ca="1" si="25"/>
        <v>0</v>
      </c>
      <c r="AB118" s="279" t="str">
        <f t="shared" ca="1" si="26"/>
        <v>0-2-0</v>
      </c>
    </row>
    <row r="119" spans="1:28" x14ac:dyDescent="0.25">
      <c r="A119" s="281" t="s">
        <v>77</v>
      </c>
      <c r="B119" s="281" t="s">
        <v>105</v>
      </c>
      <c r="C119" s="281" t="s">
        <v>295</v>
      </c>
      <c r="D119" s="281" t="s">
        <v>13</v>
      </c>
      <c r="E119" s="281">
        <v>2</v>
      </c>
      <c r="F119" s="222" t="str">
        <f t="shared" si="20"/>
        <v>DEPENDENCIES-12</v>
      </c>
      <c r="G119" s="222">
        <f t="shared" si="21"/>
        <v>4</v>
      </c>
      <c r="H119" s="284">
        <f t="shared" ca="1" si="22"/>
        <v>0</v>
      </c>
      <c r="I119" s="284">
        <f t="shared" ca="1" si="23"/>
        <v>0</v>
      </c>
      <c r="J119" s="287" t="s">
        <v>295</v>
      </c>
      <c r="W119" s="278" t="str">
        <f ca="1">AB119&amp;"-"&amp;COUNTIF($AB$2:$AB119,$AB119)</f>
        <v>0-2-0-38</v>
      </c>
      <c r="X119" s="278" t="s">
        <v>295</v>
      </c>
      <c r="Y119" s="289">
        <f t="shared" ca="1" si="27"/>
        <v>0</v>
      </c>
      <c r="Z119" s="271">
        <v>2</v>
      </c>
      <c r="AA119" s="277">
        <f t="shared" ca="1" si="25"/>
        <v>0</v>
      </c>
      <c r="AB119" s="279" t="str">
        <f t="shared" ca="1" si="26"/>
        <v>0-2-0</v>
      </c>
    </row>
    <row r="120" spans="1:28" x14ac:dyDescent="0.25">
      <c r="A120" s="281" t="s">
        <v>77</v>
      </c>
      <c r="B120" s="281" t="s">
        <v>105</v>
      </c>
      <c r="C120" s="281" t="s">
        <v>296</v>
      </c>
      <c r="D120" s="281" t="s">
        <v>14</v>
      </c>
      <c r="E120" s="281">
        <v>3</v>
      </c>
      <c r="F120" s="222" t="str">
        <f t="shared" si="20"/>
        <v>DEPENDENCIES-13</v>
      </c>
      <c r="G120" s="222">
        <f t="shared" si="21"/>
        <v>1</v>
      </c>
      <c r="H120" s="284">
        <f t="shared" ca="1" si="22"/>
        <v>0</v>
      </c>
      <c r="I120" s="284">
        <f t="shared" ca="1" si="23"/>
        <v>0</v>
      </c>
      <c r="J120" s="287" t="s">
        <v>296</v>
      </c>
      <c r="W120" s="278" t="str">
        <f ca="1">AB120&amp;"-"&amp;COUNTIF($AB$2:$AB120,$AB120)</f>
        <v>0-3-0-28</v>
      </c>
      <c r="X120" s="278" t="s">
        <v>296</v>
      </c>
      <c r="Y120" s="289">
        <f t="shared" ca="1" si="27"/>
        <v>0</v>
      </c>
      <c r="Z120" s="271">
        <v>3</v>
      </c>
      <c r="AA120" s="277">
        <f t="shared" ca="1" si="25"/>
        <v>0</v>
      </c>
      <c r="AB120" s="279" t="str">
        <f t="shared" ca="1" si="26"/>
        <v>0-3-0</v>
      </c>
    </row>
    <row r="121" spans="1:28" x14ac:dyDescent="0.25">
      <c r="A121" s="281" t="s">
        <v>77</v>
      </c>
      <c r="B121" s="281" t="s">
        <v>107</v>
      </c>
      <c r="C121" s="281" t="s">
        <v>297</v>
      </c>
      <c r="D121" s="281" t="s">
        <v>20</v>
      </c>
      <c r="E121" s="281">
        <v>1</v>
      </c>
      <c r="F121" s="222" t="str">
        <f t="shared" si="20"/>
        <v>DEPENDENCIES-21</v>
      </c>
      <c r="G121" s="222">
        <f t="shared" si="21"/>
        <v>2</v>
      </c>
      <c r="H121" s="284">
        <f t="shared" ca="1" si="22"/>
        <v>0</v>
      </c>
      <c r="I121" s="284">
        <f t="shared" ca="1" si="23"/>
        <v>0</v>
      </c>
      <c r="J121" s="287" t="s">
        <v>297</v>
      </c>
      <c r="W121" s="278" t="str">
        <f ca="1">AB121&amp;"-"&amp;COUNTIF($AB$2:$AB121,$AB121)</f>
        <v>0-1-0-29</v>
      </c>
      <c r="X121" s="278" t="s">
        <v>297</v>
      </c>
      <c r="Y121" s="289">
        <f t="shared" ca="1" si="27"/>
        <v>0</v>
      </c>
      <c r="Z121" s="271">
        <v>1</v>
      </c>
      <c r="AA121" s="277">
        <f t="shared" ca="1" si="25"/>
        <v>0</v>
      </c>
      <c r="AB121" s="279" t="str">
        <f t="shared" ca="1" si="26"/>
        <v>0-1-0</v>
      </c>
    </row>
    <row r="122" spans="1:28" x14ac:dyDescent="0.25">
      <c r="A122" s="281" t="s">
        <v>77</v>
      </c>
      <c r="B122" s="281" t="s">
        <v>107</v>
      </c>
      <c r="C122" s="281" t="s">
        <v>298</v>
      </c>
      <c r="D122" s="281" t="s">
        <v>21</v>
      </c>
      <c r="E122" s="281">
        <v>1</v>
      </c>
      <c r="F122" s="222" t="str">
        <f t="shared" si="20"/>
        <v>DEPENDENCIES-21</v>
      </c>
      <c r="G122" s="222">
        <f t="shared" si="21"/>
        <v>2</v>
      </c>
      <c r="H122" s="284">
        <f t="shared" ca="1" si="22"/>
        <v>0</v>
      </c>
      <c r="I122" s="284">
        <f t="shared" ca="1" si="23"/>
        <v>0</v>
      </c>
      <c r="J122" s="287" t="s">
        <v>298</v>
      </c>
      <c r="W122" s="278" t="str">
        <f ca="1">AB122&amp;"-"&amp;COUNTIF($AB$2:$AB122,$AB122)</f>
        <v>0-1-0-30</v>
      </c>
      <c r="X122" s="278" t="s">
        <v>298</v>
      </c>
      <c r="Y122" s="289">
        <f t="shared" ca="1" si="27"/>
        <v>0</v>
      </c>
      <c r="Z122" s="271">
        <v>1</v>
      </c>
      <c r="AA122" s="277">
        <f t="shared" ca="1" si="25"/>
        <v>0</v>
      </c>
      <c r="AB122" s="279" t="str">
        <f t="shared" ca="1" si="26"/>
        <v>0-1-0</v>
      </c>
    </row>
    <row r="123" spans="1:28" x14ac:dyDescent="0.25">
      <c r="A123" s="281" t="s">
        <v>77</v>
      </c>
      <c r="B123" s="281" t="s">
        <v>107</v>
      </c>
      <c r="C123" s="281" t="s">
        <v>299</v>
      </c>
      <c r="D123" s="281" t="s">
        <v>22</v>
      </c>
      <c r="E123" s="281">
        <v>2</v>
      </c>
      <c r="F123" s="222" t="str">
        <f t="shared" si="20"/>
        <v>DEPENDENCIES-22</v>
      </c>
      <c r="G123" s="222">
        <f t="shared" si="21"/>
        <v>7</v>
      </c>
      <c r="H123" s="284">
        <f t="shared" ca="1" si="22"/>
        <v>0</v>
      </c>
      <c r="I123" s="284">
        <f t="shared" ca="1" si="23"/>
        <v>0</v>
      </c>
      <c r="J123" s="287" t="s">
        <v>299</v>
      </c>
      <c r="W123" s="278" t="str">
        <f ca="1">AB123&amp;"-"&amp;COUNTIF($AB$2:$AB123,$AB123)</f>
        <v>0-2-0-39</v>
      </c>
      <c r="X123" s="278" t="s">
        <v>299</v>
      </c>
      <c r="Y123" s="289">
        <f t="shared" ca="1" si="27"/>
        <v>0</v>
      </c>
      <c r="Z123" s="271">
        <v>2</v>
      </c>
      <c r="AA123" s="277">
        <f t="shared" ca="1" si="25"/>
        <v>0</v>
      </c>
      <c r="AB123" s="279" t="str">
        <f t="shared" ca="1" si="26"/>
        <v>0-2-0</v>
      </c>
    </row>
    <row r="124" spans="1:28" x14ac:dyDescent="0.25">
      <c r="A124" s="281" t="s">
        <v>77</v>
      </c>
      <c r="B124" s="281" t="s">
        <v>107</v>
      </c>
      <c r="C124" s="281" t="s">
        <v>300</v>
      </c>
      <c r="D124" s="281" t="s">
        <v>23</v>
      </c>
      <c r="E124" s="281">
        <v>2</v>
      </c>
      <c r="F124" s="222" t="str">
        <f t="shared" si="20"/>
        <v>DEPENDENCIES-22</v>
      </c>
      <c r="G124" s="222">
        <f t="shared" si="21"/>
        <v>7</v>
      </c>
      <c r="H124" s="284">
        <f t="shared" ca="1" si="22"/>
        <v>0</v>
      </c>
      <c r="I124" s="284">
        <f t="shared" ca="1" si="23"/>
        <v>0</v>
      </c>
      <c r="J124" s="287" t="s">
        <v>300</v>
      </c>
      <c r="W124" s="278" t="str">
        <f ca="1">AB124&amp;"-"&amp;COUNTIF($AB$2:$AB124,$AB124)</f>
        <v>0-2-0-40</v>
      </c>
      <c r="X124" s="278" t="s">
        <v>300</v>
      </c>
      <c r="Y124" s="289">
        <f t="shared" ca="1" si="27"/>
        <v>0</v>
      </c>
      <c r="Z124" s="271">
        <v>2</v>
      </c>
      <c r="AA124" s="277">
        <f t="shared" ca="1" si="25"/>
        <v>0</v>
      </c>
      <c r="AB124" s="279" t="str">
        <f t="shared" ca="1" si="26"/>
        <v>0-2-0</v>
      </c>
    </row>
    <row r="125" spans="1:28" x14ac:dyDescent="0.25">
      <c r="A125" s="281" t="s">
        <v>77</v>
      </c>
      <c r="B125" s="281" t="s">
        <v>107</v>
      </c>
      <c r="C125" s="281" t="s">
        <v>301</v>
      </c>
      <c r="D125" s="281" t="s">
        <v>24</v>
      </c>
      <c r="E125" s="281">
        <v>2</v>
      </c>
      <c r="F125" s="222" t="str">
        <f t="shared" si="20"/>
        <v>DEPENDENCIES-22</v>
      </c>
      <c r="G125" s="222">
        <f t="shared" si="21"/>
        <v>7</v>
      </c>
      <c r="H125" s="284">
        <f t="shared" ca="1" si="22"/>
        <v>0</v>
      </c>
      <c r="I125" s="284">
        <f t="shared" ca="1" si="23"/>
        <v>0</v>
      </c>
      <c r="J125" s="287" t="s">
        <v>301</v>
      </c>
      <c r="W125" s="278" t="str">
        <f ca="1">AB125&amp;"-"&amp;COUNTIF($AB$2:$AB125,$AB125)</f>
        <v>0-2-0-41</v>
      </c>
      <c r="X125" s="278" t="s">
        <v>301</v>
      </c>
      <c r="Y125" s="289">
        <f t="shared" ca="1" si="27"/>
        <v>0</v>
      </c>
      <c r="Z125" s="271">
        <v>2</v>
      </c>
      <c r="AA125" s="277">
        <f t="shared" ca="1" si="25"/>
        <v>0</v>
      </c>
      <c r="AB125" s="279" t="str">
        <f t="shared" ca="1" si="26"/>
        <v>0-2-0</v>
      </c>
    </row>
    <row r="126" spans="1:28" x14ac:dyDescent="0.25">
      <c r="A126" s="281" t="s">
        <v>77</v>
      </c>
      <c r="B126" s="281" t="s">
        <v>107</v>
      </c>
      <c r="C126" s="281" t="s">
        <v>302</v>
      </c>
      <c r="D126" s="281" t="s">
        <v>112</v>
      </c>
      <c r="E126" s="281">
        <v>2</v>
      </c>
      <c r="F126" s="222" t="str">
        <f t="shared" si="20"/>
        <v>DEPENDENCIES-22</v>
      </c>
      <c r="G126" s="222">
        <f t="shared" si="21"/>
        <v>7</v>
      </c>
      <c r="H126" s="284">
        <f t="shared" ca="1" si="22"/>
        <v>0</v>
      </c>
      <c r="I126" s="284">
        <f t="shared" ca="1" si="23"/>
        <v>0</v>
      </c>
      <c r="J126" s="287" t="s">
        <v>302</v>
      </c>
      <c r="W126" s="278" t="str">
        <f ca="1">AB126&amp;"-"&amp;COUNTIF($AB$2:$AB126,$AB126)</f>
        <v>0-2-0-42</v>
      </c>
      <c r="X126" s="278" t="s">
        <v>302</v>
      </c>
      <c r="Y126" s="289">
        <f t="shared" ca="1" si="27"/>
        <v>0</v>
      </c>
      <c r="Z126" s="271">
        <v>2</v>
      </c>
      <c r="AA126" s="277">
        <f t="shared" ca="1" si="25"/>
        <v>0</v>
      </c>
      <c r="AB126" s="279" t="str">
        <f t="shared" ca="1" si="26"/>
        <v>0-2-0</v>
      </c>
    </row>
    <row r="127" spans="1:28" x14ac:dyDescent="0.25">
      <c r="A127" s="281" t="s">
        <v>77</v>
      </c>
      <c r="B127" s="281" t="s">
        <v>107</v>
      </c>
      <c r="C127" s="281" t="s">
        <v>303</v>
      </c>
      <c r="D127" s="281" t="s">
        <v>176</v>
      </c>
      <c r="E127" s="281">
        <v>2</v>
      </c>
      <c r="F127" s="222" t="str">
        <f t="shared" si="20"/>
        <v>DEPENDENCIES-22</v>
      </c>
      <c r="G127" s="222">
        <f t="shared" si="21"/>
        <v>7</v>
      </c>
      <c r="H127" s="284">
        <f t="shared" ca="1" si="22"/>
        <v>0</v>
      </c>
      <c r="I127" s="284">
        <f t="shared" ca="1" si="23"/>
        <v>0</v>
      </c>
      <c r="J127" s="287" t="s">
        <v>303</v>
      </c>
      <c r="W127" s="278" t="str">
        <f ca="1">AB127&amp;"-"&amp;COUNTIF($AB$2:$AB127,$AB127)</f>
        <v>0-2-0-43</v>
      </c>
      <c r="X127" s="278" t="s">
        <v>303</v>
      </c>
      <c r="Y127" s="289">
        <f t="shared" ca="1" si="27"/>
        <v>0</v>
      </c>
      <c r="Z127" s="271">
        <v>2</v>
      </c>
      <c r="AA127" s="277">
        <f t="shared" ca="1" si="25"/>
        <v>0</v>
      </c>
      <c r="AB127" s="279" t="str">
        <f t="shared" ca="1" si="26"/>
        <v>0-2-0</v>
      </c>
    </row>
    <row r="128" spans="1:28" x14ac:dyDescent="0.25">
      <c r="A128" s="281" t="s">
        <v>77</v>
      </c>
      <c r="B128" s="281" t="s">
        <v>107</v>
      </c>
      <c r="C128" s="281" t="s">
        <v>304</v>
      </c>
      <c r="D128" s="281" t="s">
        <v>178</v>
      </c>
      <c r="E128" s="281">
        <v>2</v>
      </c>
      <c r="F128" s="222" t="str">
        <f t="shared" si="20"/>
        <v>DEPENDENCIES-22</v>
      </c>
      <c r="G128" s="222">
        <f t="shared" si="21"/>
        <v>7</v>
      </c>
      <c r="H128" s="284">
        <f t="shared" ca="1" si="22"/>
        <v>0</v>
      </c>
      <c r="I128" s="284">
        <f t="shared" ca="1" si="23"/>
        <v>0</v>
      </c>
      <c r="J128" s="287" t="s">
        <v>304</v>
      </c>
      <c r="W128" s="278" t="str">
        <f ca="1">AB128&amp;"-"&amp;COUNTIF($AB$2:$AB128,$AB128)</f>
        <v>0-2-0-44</v>
      </c>
      <c r="X128" s="278" t="s">
        <v>304</v>
      </c>
      <c r="Y128" s="289">
        <f t="shared" ca="1" si="27"/>
        <v>0</v>
      </c>
      <c r="Z128" s="271">
        <v>2</v>
      </c>
      <c r="AA128" s="277">
        <f t="shared" ca="1" si="25"/>
        <v>0</v>
      </c>
      <c r="AB128" s="279" t="str">
        <f t="shared" ca="1" si="26"/>
        <v>0-2-0</v>
      </c>
    </row>
    <row r="129" spans="1:28" x14ac:dyDescent="0.25">
      <c r="A129" s="281" t="s">
        <v>77</v>
      </c>
      <c r="B129" s="281" t="s">
        <v>107</v>
      </c>
      <c r="C129" s="281" t="s">
        <v>305</v>
      </c>
      <c r="D129" s="281" t="s">
        <v>209</v>
      </c>
      <c r="E129" s="281">
        <v>2</v>
      </c>
      <c r="F129" s="222" t="str">
        <f t="shared" si="20"/>
        <v>DEPENDENCIES-22</v>
      </c>
      <c r="G129" s="222">
        <f t="shared" si="21"/>
        <v>7</v>
      </c>
      <c r="H129" s="284">
        <f t="shared" ca="1" si="22"/>
        <v>0</v>
      </c>
      <c r="I129" s="284">
        <f t="shared" ca="1" si="23"/>
        <v>0</v>
      </c>
      <c r="J129" s="287" t="s">
        <v>305</v>
      </c>
      <c r="W129" s="278" t="str">
        <f ca="1">AB129&amp;"-"&amp;COUNTIF($AB$2:$AB129,$AB129)</f>
        <v>0-2-0-45</v>
      </c>
      <c r="X129" s="278" t="s">
        <v>305</v>
      </c>
      <c r="Y129" s="289">
        <f t="shared" ca="1" si="27"/>
        <v>0</v>
      </c>
      <c r="Z129" s="271">
        <v>2</v>
      </c>
      <c r="AA129" s="277">
        <f t="shared" ca="1" si="25"/>
        <v>0</v>
      </c>
      <c r="AB129" s="279" t="str">
        <f t="shared" ca="1" si="26"/>
        <v>0-2-0</v>
      </c>
    </row>
    <row r="130" spans="1:28" x14ac:dyDescent="0.25">
      <c r="A130" s="281" t="s">
        <v>77</v>
      </c>
      <c r="B130" s="281" t="s">
        <v>107</v>
      </c>
      <c r="C130" s="281" t="s">
        <v>306</v>
      </c>
      <c r="D130" s="281" t="s">
        <v>211</v>
      </c>
      <c r="E130" s="281">
        <v>3</v>
      </c>
      <c r="F130" s="222" t="str">
        <f t="shared" ref="F130:F194" si="28">CONCATENATE($B130,$E130)</f>
        <v>DEPENDENCIES-23</v>
      </c>
      <c r="G130" s="222">
        <f t="shared" ref="G130:G193" si="29">COUNTIF($F:$F,$F130)</f>
        <v>5</v>
      </c>
      <c r="H130" s="284">
        <f t="shared" ref="H130:H194" ca="1" si="30">INT(LEFT(
VLOOKUP($D130, INDIRECT("'"&amp;$A130&amp;"'!"&amp;"$D:$H"), 5,FALSE), 1)
)</f>
        <v>0</v>
      </c>
      <c r="I130" s="284">
        <f t="shared" ref="I130:I194" ca="1" si="31">IFERROR(IF(H130&gt;2,1,0),0)</f>
        <v>0</v>
      </c>
      <c r="J130" s="287" t="s">
        <v>306</v>
      </c>
      <c r="W130" s="278" t="str">
        <f ca="1">AB130&amp;"-"&amp;COUNTIF($AB$2:$AB130,$AB130)</f>
        <v>0-3-0-29</v>
      </c>
      <c r="X130" s="278" t="s">
        <v>306</v>
      </c>
      <c r="Y130" s="289">
        <f t="shared" ref="Y130:Y161" ca="1" si="32">VLOOKUP(LEFT($X130,LEN($X130)-1),$K:$O,5,FALSE)</f>
        <v>0</v>
      </c>
      <c r="Z130" s="271">
        <v>3</v>
      </c>
      <c r="AA130" s="277">
        <f t="shared" ref="AA130:AA193" ca="1" si="33">VLOOKUP(X130,C:I,7,FALSE)</f>
        <v>0</v>
      </c>
      <c r="AB130" s="279" t="str">
        <f t="shared" ca="1" si="26"/>
        <v>0-3-0</v>
      </c>
    </row>
    <row r="131" spans="1:28" x14ac:dyDescent="0.25">
      <c r="A131" s="281" t="s">
        <v>77</v>
      </c>
      <c r="B131" s="281" t="s">
        <v>107</v>
      </c>
      <c r="C131" s="281" t="s">
        <v>307</v>
      </c>
      <c r="D131" s="281" t="s">
        <v>213</v>
      </c>
      <c r="E131" s="281">
        <v>3</v>
      </c>
      <c r="F131" s="222" t="str">
        <f t="shared" si="28"/>
        <v>DEPENDENCIES-23</v>
      </c>
      <c r="G131" s="222">
        <f t="shared" si="29"/>
        <v>5</v>
      </c>
      <c r="H131" s="284">
        <f t="shared" ca="1" si="30"/>
        <v>0</v>
      </c>
      <c r="I131" s="284">
        <f t="shared" ca="1" si="31"/>
        <v>0</v>
      </c>
      <c r="J131" s="287" t="s">
        <v>307</v>
      </c>
      <c r="W131" s="278" t="str">
        <f ca="1">AB131&amp;"-"&amp;COUNTIF($AB$2:$AB131,$AB131)</f>
        <v>0-3-0-30</v>
      </c>
      <c r="X131" s="278" t="s">
        <v>307</v>
      </c>
      <c r="Y131" s="289">
        <f t="shared" ca="1" si="32"/>
        <v>0</v>
      </c>
      <c r="Z131" s="271">
        <v>3</v>
      </c>
      <c r="AA131" s="277">
        <f t="shared" ca="1" si="33"/>
        <v>0</v>
      </c>
      <c r="AB131" s="279" t="str">
        <f t="shared" ref="AB131:AB195" ca="1" si="34">Y131&amp;"-"&amp;Z131&amp;"-"&amp;AA131</f>
        <v>0-3-0</v>
      </c>
    </row>
    <row r="132" spans="1:28" x14ac:dyDescent="0.25">
      <c r="A132" s="281" t="s">
        <v>77</v>
      </c>
      <c r="B132" s="281" t="s">
        <v>107</v>
      </c>
      <c r="C132" s="281" t="s">
        <v>308</v>
      </c>
      <c r="D132" s="281" t="s">
        <v>215</v>
      </c>
      <c r="E132" s="281">
        <v>3</v>
      </c>
      <c r="F132" s="222" t="str">
        <f t="shared" si="28"/>
        <v>DEPENDENCIES-23</v>
      </c>
      <c r="G132" s="222">
        <f t="shared" si="29"/>
        <v>5</v>
      </c>
      <c r="H132" s="284">
        <f t="shared" ca="1" si="30"/>
        <v>0</v>
      </c>
      <c r="I132" s="284">
        <f t="shared" ca="1" si="31"/>
        <v>0</v>
      </c>
      <c r="J132" s="287" t="s">
        <v>308</v>
      </c>
      <c r="W132" s="278" t="str">
        <f ca="1">AB132&amp;"-"&amp;COUNTIF($AB$2:$AB132,$AB132)</f>
        <v>0-3-0-31</v>
      </c>
      <c r="X132" s="278" t="s">
        <v>308</v>
      </c>
      <c r="Y132" s="289">
        <f t="shared" ca="1" si="32"/>
        <v>0</v>
      </c>
      <c r="Z132" s="271">
        <v>3</v>
      </c>
      <c r="AA132" s="277">
        <f t="shared" ca="1" si="33"/>
        <v>0</v>
      </c>
      <c r="AB132" s="279" t="str">
        <f t="shared" ca="1" si="34"/>
        <v>0-3-0</v>
      </c>
    </row>
    <row r="133" spans="1:28" x14ac:dyDescent="0.25">
      <c r="A133" s="281" t="s">
        <v>77</v>
      </c>
      <c r="B133" s="281" t="s">
        <v>107</v>
      </c>
      <c r="C133" s="281" t="s">
        <v>309</v>
      </c>
      <c r="D133" s="281" t="s">
        <v>217</v>
      </c>
      <c r="E133" s="281">
        <v>3</v>
      </c>
      <c r="F133" s="222" t="str">
        <f t="shared" si="28"/>
        <v>DEPENDENCIES-23</v>
      </c>
      <c r="G133" s="222">
        <f t="shared" si="29"/>
        <v>5</v>
      </c>
      <c r="H133" s="284">
        <f t="shared" ca="1" si="30"/>
        <v>0</v>
      </c>
      <c r="I133" s="284">
        <f t="shared" ca="1" si="31"/>
        <v>0</v>
      </c>
      <c r="J133" s="287" t="s">
        <v>309</v>
      </c>
      <c r="W133" s="278" t="str">
        <f ca="1">AB133&amp;"-"&amp;COUNTIF($AB$2:$AB133,$AB133)</f>
        <v>0-3-0-32</v>
      </c>
      <c r="X133" s="278" t="s">
        <v>309</v>
      </c>
      <c r="Y133" s="289">
        <f t="shared" ca="1" si="32"/>
        <v>0</v>
      </c>
      <c r="Z133" s="271">
        <v>3</v>
      </c>
      <c r="AA133" s="277">
        <f t="shared" ca="1" si="33"/>
        <v>0</v>
      </c>
      <c r="AB133" s="279" t="str">
        <f t="shared" ca="1" si="34"/>
        <v>0-3-0</v>
      </c>
    </row>
    <row r="134" spans="1:28" x14ac:dyDescent="0.25">
      <c r="A134" s="281" t="s">
        <v>77</v>
      </c>
      <c r="B134" s="281" t="s">
        <v>107</v>
      </c>
      <c r="C134" s="281" t="s">
        <v>310</v>
      </c>
      <c r="D134" s="281" t="s">
        <v>311</v>
      </c>
      <c r="E134" s="281">
        <v>3</v>
      </c>
      <c r="F134" s="222" t="str">
        <f t="shared" si="28"/>
        <v>DEPENDENCIES-23</v>
      </c>
      <c r="G134" s="222">
        <f t="shared" si="29"/>
        <v>5</v>
      </c>
      <c r="H134" s="284">
        <f t="shared" ca="1" si="30"/>
        <v>0</v>
      </c>
      <c r="I134" s="284">
        <f t="shared" ca="1" si="31"/>
        <v>0</v>
      </c>
      <c r="J134" s="287" t="s">
        <v>310</v>
      </c>
      <c r="W134" s="278" t="str">
        <f ca="1">AB134&amp;"-"&amp;COUNTIF($AB$2:$AB134,$AB134)</f>
        <v>0-3-0-33</v>
      </c>
      <c r="X134" s="278" t="s">
        <v>310</v>
      </c>
      <c r="Y134" s="289">
        <f t="shared" ca="1" si="32"/>
        <v>0</v>
      </c>
      <c r="Z134" s="271">
        <v>3</v>
      </c>
      <c r="AA134" s="277">
        <f t="shared" ca="1" si="33"/>
        <v>0</v>
      </c>
      <c r="AB134" s="279" t="str">
        <f t="shared" ca="1" si="34"/>
        <v>0-3-0</v>
      </c>
    </row>
    <row r="135" spans="1:28" x14ac:dyDescent="0.25">
      <c r="A135" s="281" t="s">
        <v>77</v>
      </c>
      <c r="B135" s="281" t="s">
        <v>109</v>
      </c>
      <c r="C135" s="281" t="s">
        <v>312</v>
      </c>
      <c r="D135" s="281" t="s">
        <v>25</v>
      </c>
      <c r="E135" s="281">
        <v>2</v>
      </c>
      <c r="F135" s="222" t="str">
        <f t="shared" si="28"/>
        <v>DEPENDENCIES-32</v>
      </c>
      <c r="G135" s="222">
        <f t="shared" si="29"/>
        <v>4</v>
      </c>
      <c r="H135" s="284">
        <f t="shared" ca="1" si="30"/>
        <v>0</v>
      </c>
      <c r="I135" s="284">
        <f t="shared" ca="1" si="31"/>
        <v>0</v>
      </c>
      <c r="J135" s="287" t="s">
        <v>312</v>
      </c>
      <c r="W135" s="278" t="str">
        <f ca="1">AB135&amp;"-"&amp;COUNTIF($AB$2:$AB135,$AB135)</f>
        <v>1-2-0-15</v>
      </c>
      <c r="X135" s="278" t="s">
        <v>312</v>
      </c>
      <c r="Y135" s="289">
        <f t="shared" ca="1" si="32"/>
        <v>1</v>
      </c>
      <c r="Z135" s="271">
        <v>2</v>
      </c>
      <c r="AA135" s="277">
        <f t="shared" ca="1" si="33"/>
        <v>0</v>
      </c>
      <c r="AB135" s="279" t="str">
        <f t="shared" ca="1" si="34"/>
        <v>1-2-0</v>
      </c>
    </row>
    <row r="136" spans="1:28" x14ac:dyDescent="0.25">
      <c r="A136" s="281" t="s">
        <v>77</v>
      </c>
      <c r="B136" s="281" t="s">
        <v>109</v>
      </c>
      <c r="C136" s="281" t="s">
        <v>313</v>
      </c>
      <c r="D136" s="281" t="s">
        <v>26</v>
      </c>
      <c r="E136" s="281">
        <v>2</v>
      </c>
      <c r="F136" s="222" t="str">
        <f t="shared" si="28"/>
        <v>DEPENDENCIES-32</v>
      </c>
      <c r="G136" s="222">
        <f t="shared" si="29"/>
        <v>4</v>
      </c>
      <c r="H136" s="284">
        <f t="shared" ca="1" si="30"/>
        <v>0</v>
      </c>
      <c r="I136" s="284">
        <f t="shared" ca="1" si="31"/>
        <v>0</v>
      </c>
      <c r="J136" s="287" t="s">
        <v>313</v>
      </c>
      <c r="W136" s="278" t="str">
        <f ca="1">AB136&amp;"-"&amp;COUNTIF($AB$2:$AB136,$AB136)</f>
        <v>1-2-0-16</v>
      </c>
      <c r="X136" s="278" t="s">
        <v>313</v>
      </c>
      <c r="Y136" s="289">
        <f t="shared" ca="1" si="32"/>
        <v>1</v>
      </c>
      <c r="Z136" s="271">
        <v>2</v>
      </c>
      <c r="AA136" s="277">
        <f t="shared" ca="1" si="33"/>
        <v>0</v>
      </c>
      <c r="AB136" s="279" t="str">
        <f t="shared" ca="1" si="34"/>
        <v>1-2-0</v>
      </c>
    </row>
    <row r="137" spans="1:28" x14ac:dyDescent="0.25">
      <c r="A137" s="281" t="s">
        <v>77</v>
      </c>
      <c r="B137" s="281" t="s">
        <v>109</v>
      </c>
      <c r="C137" s="281" t="s">
        <v>314</v>
      </c>
      <c r="D137" s="281" t="s">
        <v>27</v>
      </c>
      <c r="E137" s="281">
        <v>2</v>
      </c>
      <c r="F137" s="222" t="str">
        <f t="shared" si="28"/>
        <v>DEPENDENCIES-32</v>
      </c>
      <c r="G137" s="222">
        <f t="shared" si="29"/>
        <v>4</v>
      </c>
      <c r="H137" s="284">
        <f t="shared" ca="1" si="30"/>
        <v>0</v>
      </c>
      <c r="I137" s="284">
        <f t="shared" ca="1" si="31"/>
        <v>0</v>
      </c>
      <c r="J137" s="287" t="s">
        <v>314</v>
      </c>
      <c r="W137" s="278" t="str">
        <f ca="1">AB137&amp;"-"&amp;COUNTIF($AB$2:$AB137,$AB137)</f>
        <v>1-2-0-17</v>
      </c>
      <c r="X137" s="278" t="s">
        <v>314</v>
      </c>
      <c r="Y137" s="289">
        <f t="shared" ca="1" si="32"/>
        <v>1</v>
      </c>
      <c r="Z137" s="271">
        <v>2</v>
      </c>
      <c r="AA137" s="277">
        <f t="shared" ca="1" si="33"/>
        <v>0</v>
      </c>
      <c r="AB137" s="279" t="str">
        <f t="shared" ca="1" si="34"/>
        <v>1-2-0</v>
      </c>
    </row>
    <row r="138" spans="1:28" x14ac:dyDescent="0.25">
      <c r="A138" s="281" t="s">
        <v>77</v>
      </c>
      <c r="B138" s="281" t="s">
        <v>109</v>
      </c>
      <c r="C138" s="281" t="s">
        <v>315</v>
      </c>
      <c r="D138" s="281" t="s">
        <v>28</v>
      </c>
      <c r="E138" s="281">
        <v>2</v>
      </c>
      <c r="F138" s="222" t="str">
        <f t="shared" si="28"/>
        <v>DEPENDENCIES-32</v>
      </c>
      <c r="G138" s="222">
        <f t="shared" si="29"/>
        <v>4</v>
      </c>
      <c r="H138" s="284">
        <f t="shared" ca="1" si="30"/>
        <v>0</v>
      </c>
      <c r="I138" s="284">
        <f t="shared" ca="1" si="31"/>
        <v>0</v>
      </c>
      <c r="J138" s="287" t="s">
        <v>315</v>
      </c>
      <c r="W138" s="278" t="str">
        <f ca="1">AB138&amp;"-"&amp;COUNTIF($AB$2:$AB138,$AB138)</f>
        <v>1-2-0-18</v>
      </c>
      <c r="X138" s="278" t="s">
        <v>315</v>
      </c>
      <c r="Y138" s="289">
        <f t="shared" ca="1" si="32"/>
        <v>1</v>
      </c>
      <c r="Z138" s="271">
        <v>2</v>
      </c>
      <c r="AA138" s="277">
        <f t="shared" ca="1" si="33"/>
        <v>0</v>
      </c>
      <c r="AB138" s="279" t="str">
        <f t="shared" ca="1" si="34"/>
        <v>1-2-0</v>
      </c>
    </row>
    <row r="139" spans="1:28" x14ac:dyDescent="0.25">
      <c r="A139" s="281" t="s">
        <v>77</v>
      </c>
      <c r="B139" s="281" t="s">
        <v>109</v>
      </c>
      <c r="C139" s="281" t="s">
        <v>316</v>
      </c>
      <c r="D139" s="281" t="s">
        <v>29</v>
      </c>
      <c r="E139" s="281">
        <v>3</v>
      </c>
      <c r="F139" s="222" t="str">
        <f t="shared" si="28"/>
        <v>DEPENDENCIES-33</v>
      </c>
      <c r="G139" s="222">
        <f t="shared" si="29"/>
        <v>3</v>
      </c>
      <c r="H139" s="284">
        <f t="shared" ca="1" si="30"/>
        <v>0</v>
      </c>
      <c r="I139" s="284">
        <f t="shared" ca="1" si="31"/>
        <v>0</v>
      </c>
      <c r="J139" s="287" t="s">
        <v>316</v>
      </c>
      <c r="W139" s="278" t="str">
        <f ca="1">AB139&amp;"-"&amp;COUNTIF($AB$2:$AB139,$AB139)</f>
        <v>1-3-0-12</v>
      </c>
      <c r="X139" s="278" t="s">
        <v>316</v>
      </c>
      <c r="Y139" s="289">
        <f t="shared" ca="1" si="32"/>
        <v>1</v>
      </c>
      <c r="Z139" s="271">
        <v>3</v>
      </c>
      <c r="AA139" s="277">
        <f t="shared" ca="1" si="33"/>
        <v>0</v>
      </c>
      <c r="AB139" s="279" t="str">
        <f t="shared" ca="1" si="34"/>
        <v>1-3-0</v>
      </c>
    </row>
    <row r="140" spans="1:28" x14ac:dyDescent="0.25">
      <c r="A140" s="281" t="s">
        <v>77</v>
      </c>
      <c r="B140" s="281" t="s">
        <v>109</v>
      </c>
      <c r="C140" s="281" t="s">
        <v>317</v>
      </c>
      <c r="D140" s="281" t="s">
        <v>30</v>
      </c>
      <c r="E140" s="281">
        <v>3</v>
      </c>
      <c r="F140" s="222" t="str">
        <f t="shared" si="28"/>
        <v>DEPENDENCIES-33</v>
      </c>
      <c r="G140" s="222">
        <f t="shared" si="29"/>
        <v>3</v>
      </c>
      <c r="H140" s="284">
        <f t="shared" ca="1" si="30"/>
        <v>0</v>
      </c>
      <c r="I140" s="284">
        <f t="shared" ca="1" si="31"/>
        <v>0</v>
      </c>
      <c r="J140" s="287" t="s">
        <v>317</v>
      </c>
      <c r="W140" s="278" t="str">
        <f ca="1">AB140&amp;"-"&amp;COUNTIF($AB$2:$AB140,$AB140)</f>
        <v>1-3-0-13</v>
      </c>
      <c r="X140" s="278" t="s">
        <v>317</v>
      </c>
      <c r="Y140" s="289">
        <f t="shared" ca="1" si="32"/>
        <v>1</v>
      </c>
      <c r="Z140" s="271">
        <v>3</v>
      </c>
      <c r="AA140" s="277">
        <f t="shared" ca="1" si="33"/>
        <v>0</v>
      </c>
      <c r="AB140" s="279" t="str">
        <f t="shared" ca="1" si="34"/>
        <v>1-3-0</v>
      </c>
    </row>
    <row r="141" spans="1:28" x14ac:dyDescent="0.25">
      <c r="A141" s="281" t="s">
        <v>77</v>
      </c>
      <c r="B141" s="281" t="s">
        <v>109</v>
      </c>
      <c r="C141" s="281" t="s">
        <v>318</v>
      </c>
      <c r="D141" s="281" t="s">
        <v>31</v>
      </c>
      <c r="E141" s="281">
        <v>3</v>
      </c>
      <c r="F141" s="222" t="str">
        <f t="shared" si="28"/>
        <v>DEPENDENCIES-33</v>
      </c>
      <c r="G141" s="222">
        <f t="shared" si="29"/>
        <v>3</v>
      </c>
      <c r="H141" s="284">
        <f t="shared" ca="1" si="30"/>
        <v>0</v>
      </c>
      <c r="I141" s="284">
        <f t="shared" ca="1" si="31"/>
        <v>0</v>
      </c>
      <c r="J141" s="287" t="s">
        <v>318</v>
      </c>
      <c r="W141" s="278" t="str">
        <f ca="1">AB141&amp;"-"&amp;COUNTIF($AB$2:$AB141,$AB141)</f>
        <v>1-3-0-14</v>
      </c>
      <c r="X141" s="278" t="s">
        <v>318</v>
      </c>
      <c r="Y141" s="289">
        <f t="shared" ca="1" si="32"/>
        <v>1</v>
      </c>
      <c r="Z141" s="271">
        <v>3</v>
      </c>
      <c r="AA141" s="277">
        <f t="shared" ca="1" si="33"/>
        <v>0</v>
      </c>
      <c r="AB141" s="279" t="str">
        <f t="shared" ca="1" si="34"/>
        <v>1-3-0</v>
      </c>
    </row>
    <row r="142" spans="1:28" x14ac:dyDescent="0.25">
      <c r="A142" s="281" t="s">
        <v>85</v>
      </c>
      <c r="B142" s="281" t="s">
        <v>141</v>
      </c>
      <c r="C142" s="281" t="s">
        <v>383</v>
      </c>
      <c r="D142" s="281" t="s">
        <v>7</v>
      </c>
      <c r="E142" s="281">
        <v>1</v>
      </c>
      <c r="F142" s="222" t="str">
        <f t="shared" si="28"/>
        <v>PROGRAM-11</v>
      </c>
      <c r="G142" s="222">
        <f t="shared" si="29"/>
        <v>1</v>
      </c>
      <c r="H142" s="284">
        <f t="shared" ca="1" si="30"/>
        <v>0</v>
      </c>
      <c r="I142" s="284">
        <f t="shared" ca="1" si="31"/>
        <v>0</v>
      </c>
      <c r="J142" s="287" t="s">
        <v>383</v>
      </c>
      <c r="W142" s="278" t="str">
        <f ca="1">AB142&amp;"-"&amp;COUNTIF($AB$2:$AB142,$AB142)</f>
        <v>0-1-0-31</v>
      </c>
      <c r="X142" s="278" t="s">
        <v>383</v>
      </c>
      <c r="Y142" s="289">
        <f t="shared" ca="1" si="32"/>
        <v>0</v>
      </c>
      <c r="Z142" s="271">
        <v>1</v>
      </c>
      <c r="AA142" s="277">
        <f t="shared" ca="1" si="33"/>
        <v>0</v>
      </c>
      <c r="AB142" s="279" t="str">
        <f t="shared" ca="1" si="34"/>
        <v>0-1-0</v>
      </c>
    </row>
    <row r="143" spans="1:28" x14ac:dyDescent="0.25">
      <c r="A143" s="281" t="s">
        <v>85</v>
      </c>
      <c r="B143" s="281" t="s">
        <v>141</v>
      </c>
      <c r="C143" s="281" t="s">
        <v>384</v>
      </c>
      <c r="D143" s="281" t="s">
        <v>9</v>
      </c>
      <c r="E143" s="281">
        <v>2</v>
      </c>
      <c r="F143" s="222" t="str">
        <f t="shared" si="28"/>
        <v>PROGRAM-12</v>
      </c>
      <c r="G143" s="222">
        <f t="shared" si="29"/>
        <v>6</v>
      </c>
      <c r="H143" s="284">
        <f t="shared" ca="1" si="30"/>
        <v>0</v>
      </c>
      <c r="I143" s="284">
        <f t="shared" ca="1" si="31"/>
        <v>0</v>
      </c>
      <c r="J143" s="287" t="s">
        <v>384</v>
      </c>
      <c r="W143" s="278" t="str">
        <f ca="1">AB143&amp;"-"&amp;COUNTIF($AB$2:$AB143,$AB143)</f>
        <v>0-2-0-46</v>
      </c>
      <c r="X143" s="278" t="s">
        <v>384</v>
      </c>
      <c r="Y143" s="289">
        <f t="shared" ca="1" si="32"/>
        <v>0</v>
      </c>
      <c r="Z143" s="271">
        <v>2</v>
      </c>
      <c r="AA143" s="277">
        <f t="shared" ca="1" si="33"/>
        <v>0</v>
      </c>
      <c r="AB143" s="279" t="str">
        <f t="shared" ca="1" si="34"/>
        <v>0-2-0</v>
      </c>
    </row>
    <row r="144" spans="1:28" x14ac:dyDescent="0.25">
      <c r="A144" s="281" t="s">
        <v>85</v>
      </c>
      <c r="B144" s="281" t="s">
        <v>141</v>
      </c>
      <c r="C144" s="281" t="s">
        <v>385</v>
      </c>
      <c r="D144" s="281" t="s">
        <v>10</v>
      </c>
      <c r="E144" s="281">
        <v>2</v>
      </c>
      <c r="F144" s="222" t="str">
        <f t="shared" si="28"/>
        <v>PROGRAM-12</v>
      </c>
      <c r="G144" s="222">
        <f t="shared" si="29"/>
        <v>6</v>
      </c>
      <c r="H144" s="284">
        <f t="shared" ca="1" si="30"/>
        <v>0</v>
      </c>
      <c r="I144" s="284">
        <f t="shared" ca="1" si="31"/>
        <v>0</v>
      </c>
      <c r="J144" s="287" t="s">
        <v>385</v>
      </c>
      <c r="W144" s="278" t="str">
        <f ca="1">AB144&amp;"-"&amp;COUNTIF($AB$2:$AB144,$AB144)</f>
        <v>0-2-0-47</v>
      </c>
      <c r="X144" s="278" t="s">
        <v>385</v>
      </c>
      <c r="Y144" s="289">
        <f t="shared" ca="1" si="32"/>
        <v>0</v>
      </c>
      <c r="Z144" s="271">
        <v>2</v>
      </c>
      <c r="AA144" s="277">
        <f t="shared" ca="1" si="33"/>
        <v>0</v>
      </c>
      <c r="AB144" s="279" t="str">
        <f t="shared" ca="1" si="34"/>
        <v>0-2-0</v>
      </c>
    </row>
    <row r="145" spans="1:28" x14ac:dyDescent="0.25">
      <c r="A145" s="281" t="s">
        <v>85</v>
      </c>
      <c r="B145" s="281" t="s">
        <v>141</v>
      </c>
      <c r="C145" s="281" t="s">
        <v>386</v>
      </c>
      <c r="D145" s="281" t="s">
        <v>11</v>
      </c>
      <c r="E145" s="281">
        <v>2</v>
      </c>
      <c r="F145" s="222" t="str">
        <f t="shared" si="28"/>
        <v>PROGRAM-12</v>
      </c>
      <c r="G145" s="222">
        <f t="shared" si="29"/>
        <v>6</v>
      </c>
      <c r="H145" s="284">
        <f t="shared" ca="1" si="30"/>
        <v>0</v>
      </c>
      <c r="I145" s="284">
        <f t="shared" ca="1" si="31"/>
        <v>0</v>
      </c>
      <c r="J145" s="287" t="s">
        <v>386</v>
      </c>
      <c r="W145" s="278" t="str">
        <f ca="1">AB145&amp;"-"&amp;COUNTIF($AB$2:$AB145,$AB145)</f>
        <v>0-2-0-48</v>
      </c>
      <c r="X145" s="278" t="s">
        <v>386</v>
      </c>
      <c r="Y145" s="289">
        <f t="shared" ca="1" si="32"/>
        <v>0</v>
      </c>
      <c r="Z145" s="271">
        <v>2</v>
      </c>
      <c r="AA145" s="277">
        <f t="shared" ca="1" si="33"/>
        <v>0</v>
      </c>
      <c r="AB145" s="279" t="str">
        <f t="shared" ca="1" si="34"/>
        <v>0-2-0</v>
      </c>
    </row>
    <row r="146" spans="1:28" x14ac:dyDescent="0.25">
      <c r="A146" s="281" t="s">
        <v>85</v>
      </c>
      <c r="B146" s="281" t="s">
        <v>141</v>
      </c>
      <c r="C146" s="281" t="s">
        <v>387</v>
      </c>
      <c r="D146" s="281" t="s">
        <v>12</v>
      </c>
      <c r="E146" s="281">
        <v>2</v>
      </c>
      <c r="F146" s="222" t="str">
        <f t="shared" si="28"/>
        <v>PROGRAM-12</v>
      </c>
      <c r="G146" s="222">
        <f t="shared" si="29"/>
        <v>6</v>
      </c>
      <c r="H146" s="284">
        <f t="shared" ca="1" si="30"/>
        <v>0</v>
      </c>
      <c r="I146" s="284">
        <f t="shared" ca="1" si="31"/>
        <v>0</v>
      </c>
      <c r="J146" s="287" t="s">
        <v>387</v>
      </c>
      <c r="W146" s="278" t="str">
        <f ca="1">AB146&amp;"-"&amp;COUNTIF($AB$2:$AB146,$AB146)</f>
        <v>0-2-0-49</v>
      </c>
      <c r="X146" s="278" t="s">
        <v>387</v>
      </c>
      <c r="Y146" s="289">
        <f t="shared" ca="1" si="32"/>
        <v>0</v>
      </c>
      <c r="Z146" s="271">
        <v>2</v>
      </c>
      <c r="AA146" s="277">
        <f t="shared" ca="1" si="33"/>
        <v>0</v>
      </c>
      <c r="AB146" s="279" t="str">
        <f t="shared" ca="1" si="34"/>
        <v>0-2-0</v>
      </c>
    </row>
    <row r="147" spans="1:28" x14ac:dyDescent="0.25">
      <c r="A147" s="281" t="s">
        <v>85</v>
      </c>
      <c r="B147" s="281" t="s">
        <v>141</v>
      </c>
      <c r="C147" s="281" t="s">
        <v>388</v>
      </c>
      <c r="D147" s="281" t="s">
        <v>13</v>
      </c>
      <c r="E147" s="281">
        <v>2</v>
      </c>
      <c r="F147" s="222" t="str">
        <f t="shared" si="28"/>
        <v>PROGRAM-12</v>
      </c>
      <c r="G147" s="222">
        <f t="shared" si="29"/>
        <v>6</v>
      </c>
      <c r="H147" s="284">
        <f t="shared" ca="1" si="30"/>
        <v>0</v>
      </c>
      <c r="I147" s="284">
        <f t="shared" ca="1" si="31"/>
        <v>0</v>
      </c>
      <c r="J147" s="287" t="s">
        <v>388</v>
      </c>
      <c r="W147" s="278" t="str">
        <f ca="1">AB147&amp;"-"&amp;COUNTIF($AB$2:$AB147,$AB147)</f>
        <v>0-2-0-50</v>
      </c>
      <c r="X147" s="278" t="s">
        <v>388</v>
      </c>
      <c r="Y147" s="289">
        <f t="shared" ca="1" si="32"/>
        <v>0</v>
      </c>
      <c r="Z147" s="271">
        <v>2</v>
      </c>
      <c r="AA147" s="277">
        <f t="shared" ca="1" si="33"/>
        <v>0</v>
      </c>
      <c r="AB147" s="279" t="str">
        <f t="shared" ca="1" si="34"/>
        <v>0-2-0</v>
      </c>
    </row>
    <row r="148" spans="1:28" x14ac:dyDescent="0.25">
      <c r="A148" s="281" t="s">
        <v>85</v>
      </c>
      <c r="B148" s="281" t="s">
        <v>141</v>
      </c>
      <c r="C148" s="281" t="s">
        <v>389</v>
      </c>
      <c r="D148" s="281" t="s">
        <v>14</v>
      </c>
      <c r="E148" s="281">
        <v>2</v>
      </c>
      <c r="F148" s="222" t="str">
        <f t="shared" si="28"/>
        <v>PROGRAM-12</v>
      </c>
      <c r="G148" s="222">
        <f t="shared" si="29"/>
        <v>6</v>
      </c>
      <c r="H148" s="284">
        <f t="shared" ca="1" si="30"/>
        <v>0</v>
      </c>
      <c r="I148" s="284">
        <f t="shared" ca="1" si="31"/>
        <v>0</v>
      </c>
      <c r="J148" s="287" t="s">
        <v>389</v>
      </c>
      <c r="W148" s="278" t="str">
        <f ca="1">AB148&amp;"-"&amp;COUNTIF($AB$2:$AB148,$AB148)</f>
        <v>0-2-0-51</v>
      </c>
      <c r="X148" s="278" t="s">
        <v>389</v>
      </c>
      <c r="Y148" s="289">
        <f t="shared" ca="1" si="32"/>
        <v>0</v>
      </c>
      <c r="Z148" s="271">
        <v>2</v>
      </c>
      <c r="AA148" s="277">
        <f t="shared" ca="1" si="33"/>
        <v>0</v>
      </c>
      <c r="AB148" s="279" t="str">
        <f t="shared" ca="1" si="34"/>
        <v>0-2-0</v>
      </c>
    </row>
    <row r="149" spans="1:28" x14ac:dyDescent="0.25">
      <c r="A149" s="281" t="s">
        <v>85</v>
      </c>
      <c r="B149" s="281" t="s">
        <v>141</v>
      </c>
      <c r="C149" s="281" t="s">
        <v>390</v>
      </c>
      <c r="D149" s="281" t="s">
        <v>15</v>
      </c>
      <c r="E149" s="281">
        <v>3</v>
      </c>
      <c r="F149" s="222" t="str">
        <f t="shared" si="28"/>
        <v>PROGRAM-13</v>
      </c>
      <c r="G149" s="222">
        <f t="shared" si="29"/>
        <v>1</v>
      </c>
      <c r="H149" s="284">
        <f t="shared" ca="1" si="30"/>
        <v>0</v>
      </c>
      <c r="I149" s="284">
        <f t="shared" ca="1" si="31"/>
        <v>0</v>
      </c>
      <c r="J149" s="287" t="s">
        <v>390</v>
      </c>
      <c r="W149" s="278" t="str">
        <f ca="1">AB149&amp;"-"&amp;COUNTIF($AB$2:$AB149,$AB149)</f>
        <v>0-3-0-34</v>
      </c>
      <c r="X149" s="278" t="s">
        <v>390</v>
      </c>
      <c r="Y149" s="289">
        <f t="shared" ca="1" si="32"/>
        <v>0</v>
      </c>
      <c r="Z149" s="271">
        <v>3</v>
      </c>
      <c r="AA149" s="277">
        <f t="shared" ca="1" si="33"/>
        <v>0</v>
      </c>
      <c r="AB149" s="279" t="str">
        <f t="shared" ca="1" si="34"/>
        <v>0-3-0</v>
      </c>
    </row>
    <row r="150" spans="1:28" x14ac:dyDescent="0.25">
      <c r="A150" s="281" t="s">
        <v>85</v>
      </c>
      <c r="B150" s="281" t="s">
        <v>144</v>
      </c>
      <c r="C150" s="281" t="s">
        <v>391</v>
      </c>
      <c r="D150" s="281" t="s">
        <v>20</v>
      </c>
      <c r="E150" s="281">
        <v>1</v>
      </c>
      <c r="F150" s="222" t="str">
        <f t="shared" si="28"/>
        <v>PROGRAM-21</v>
      </c>
      <c r="G150" s="222">
        <f t="shared" si="29"/>
        <v>2</v>
      </c>
      <c r="H150" s="284">
        <f t="shared" ca="1" si="30"/>
        <v>0</v>
      </c>
      <c r="I150" s="284">
        <f t="shared" ca="1" si="31"/>
        <v>0</v>
      </c>
      <c r="J150" s="287" t="s">
        <v>391</v>
      </c>
      <c r="W150" s="278" t="str">
        <f ca="1">AB150&amp;"-"&amp;COUNTIF($AB$2:$AB150,$AB150)</f>
        <v>0-1-0-32</v>
      </c>
      <c r="X150" s="278" t="s">
        <v>391</v>
      </c>
      <c r="Y150" s="289">
        <f t="shared" ca="1" si="32"/>
        <v>0</v>
      </c>
      <c r="Z150" s="271">
        <v>1</v>
      </c>
      <c r="AA150" s="277">
        <f t="shared" ca="1" si="33"/>
        <v>0</v>
      </c>
      <c r="AB150" s="279" t="str">
        <f t="shared" ca="1" si="34"/>
        <v>0-1-0</v>
      </c>
    </row>
    <row r="151" spans="1:28" x14ac:dyDescent="0.25">
      <c r="A151" s="281" t="s">
        <v>85</v>
      </c>
      <c r="B151" s="281" t="s">
        <v>144</v>
      </c>
      <c r="C151" s="281" t="s">
        <v>392</v>
      </c>
      <c r="D151" s="281" t="s">
        <v>21</v>
      </c>
      <c r="E151" s="281">
        <v>1</v>
      </c>
      <c r="F151" s="222" t="str">
        <f t="shared" si="28"/>
        <v>PROGRAM-21</v>
      </c>
      <c r="G151" s="222">
        <f t="shared" si="29"/>
        <v>2</v>
      </c>
      <c r="H151" s="284">
        <f t="shared" ca="1" si="30"/>
        <v>0</v>
      </c>
      <c r="I151" s="284">
        <f t="shared" ca="1" si="31"/>
        <v>0</v>
      </c>
      <c r="J151" s="287" t="s">
        <v>392</v>
      </c>
      <c r="W151" s="278" t="str">
        <f ca="1">AB151&amp;"-"&amp;COUNTIF($AB$2:$AB151,$AB151)</f>
        <v>0-1-0-33</v>
      </c>
      <c r="X151" s="278" t="s">
        <v>392</v>
      </c>
      <c r="Y151" s="289">
        <f t="shared" ca="1" si="32"/>
        <v>0</v>
      </c>
      <c r="Z151" s="271">
        <v>1</v>
      </c>
      <c r="AA151" s="277">
        <f t="shared" ca="1" si="33"/>
        <v>0</v>
      </c>
      <c r="AB151" s="279" t="str">
        <f t="shared" ca="1" si="34"/>
        <v>0-1-0</v>
      </c>
    </row>
    <row r="152" spans="1:28" x14ac:dyDescent="0.25">
      <c r="A152" s="281" t="s">
        <v>85</v>
      </c>
      <c r="B152" s="281" t="s">
        <v>144</v>
      </c>
      <c r="C152" s="281" t="s">
        <v>393</v>
      </c>
      <c r="D152" s="281" t="s">
        <v>22</v>
      </c>
      <c r="E152" s="281">
        <v>2</v>
      </c>
      <c r="F152" s="222" t="str">
        <f t="shared" si="28"/>
        <v>PROGRAM-22</v>
      </c>
      <c r="G152" s="222">
        <f t="shared" si="29"/>
        <v>6</v>
      </c>
      <c r="H152" s="284">
        <f t="shared" ca="1" si="30"/>
        <v>0</v>
      </c>
      <c r="I152" s="284">
        <f t="shared" ca="1" si="31"/>
        <v>0</v>
      </c>
      <c r="J152" s="287" t="s">
        <v>393</v>
      </c>
      <c r="W152" s="278" t="str">
        <f ca="1">AB152&amp;"-"&amp;COUNTIF($AB$2:$AB152,$AB152)</f>
        <v>0-2-0-52</v>
      </c>
      <c r="X152" s="278" t="s">
        <v>393</v>
      </c>
      <c r="Y152" s="289">
        <f t="shared" ca="1" si="32"/>
        <v>0</v>
      </c>
      <c r="Z152" s="271">
        <v>2</v>
      </c>
      <c r="AA152" s="277">
        <f t="shared" ca="1" si="33"/>
        <v>0</v>
      </c>
      <c r="AB152" s="279" t="str">
        <f t="shared" ca="1" si="34"/>
        <v>0-2-0</v>
      </c>
    </row>
    <row r="153" spans="1:28" x14ac:dyDescent="0.25">
      <c r="A153" s="281" t="s">
        <v>85</v>
      </c>
      <c r="B153" s="281" t="s">
        <v>144</v>
      </c>
      <c r="C153" s="281" t="s">
        <v>394</v>
      </c>
      <c r="D153" s="281" t="s">
        <v>23</v>
      </c>
      <c r="E153" s="281">
        <v>2</v>
      </c>
      <c r="F153" s="222" t="str">
        <f t="shared" si="28"/>
        <v>PROGRAM-22</v>
      </c>
      <c r="G153" s="222">
        <f t="shared" si="29"/>
        <v>6</v>
      </c>
      <c r="H153" s="284">
        <f t="shared" ca="1" si="30"/>
        <v>0</v>
      </c>
      <c r="I153" s="284">
        <f t="shared" ca="1" si="31"/>
        <v>0</v>
      </c>
      <c r="J153" s="287" t="s">
        <v>394</v>
      </c>
      <c r="W153" s="278" t="str">
        <f ca="1">AB153&amp;"-"&amp;COUNTIF($AB$2:$AB153,$AB153)</f>
        <v>0-2-0-53</v>
      </c>
      <c r="X153" s="278" t="s">
        <v>394</v>
      </c>
      <c r="Y153" s="289">
        <f t="shared" ca="1" si="32"/>
        <v>0</v>
      </c>
      <c r="Z153" s="271">
        <v>2</v>
      </c>
      <c r="AA153" s="277">
        <f t="shared" ca="1" si="33"/>
        <v>0</v>
      </c>
      <c r="AB153" s="279" t="str">
        <f t="shared" ca="1" si="34"/>
        <v>0-2-0</v>
      </c>
    </row>
    <row r="154" spans="1:28" x14ac:dyDescent="0.25">
      <c r="A154" s="281" t="s">
        <v>85</v>
      </c>
      <c r="B154" s="281" t="s">
        <v>144</v>
      </c>
      <c r="C154" s="281" t="s">
        <v>395</v>
      </c>
      <c r="D154" s="281" t="s">
        <v>24</v>
      </c>
      <c r="E154" s="281">
        <v>2</v>
      </c>
      <c r="F154" s="222" t="str">
        <f t="shared" si="28"/>
        <v>PROGRAM-22</v>
      </c>
      <c r="G154" s="222">
        <f t="shared" si="29"/>
        <v>6</v>
      </c>
      <c r="H154" s="284">
        <f t="shared" ca="1" si="30"/>
        <v>0</v>
      </c>
      <c r="I154" s="284">
        <f t="shared" ca="1" si="31"/>
        <v>0</v>
      </c>
      <c r="J154" s="287" t="s">
        <v>395</v>
      </c>
      <c r="W154" s="278" t="str">
        <f ca="1">AB154&amp;"-"&amp;COUNTIF($AB$2:$AB154,$AB154)</f>
        <v>0-2-0-54</v>
      </c>
      <c r="X154" s="278" t="s">
        <v>395</v>
      </c>
      <c r="Y154" s="289">
        <f t="shared" ca="1" si="32"/>
        <v>0</v>
      </c>
      <c r="Z154" s="271">
        <v>2</v>
      </c>
      <c r="AA154" s="277">
        <f t="shared" ca="1" si="33"/>
        <v>0</v>
      </c>
      <c r="AB154" s="279" t="str">
        <f t="shared" ca="1" si="34"/>
        <v>0-2-0</v>
      </c>
    </row>
    <row r="155" spans="1:28" x14ac:dyDescent="0.25">
      <c r="A155" s="281" t="s">
        <v>85</v>
      </c>
      <c r="B155" s="281" t="s">
        <v>144</v>
      </c>
      <c r="C155" s="281" t="s">
        <v>396</v>
      </c>
      <c r="D155" s="281" t="s">
        <v>112</v>
      </c>
      <c r="E155" s="281">
        <v>2</v>
      </c>
      <c r="F155" s="222" t="str">
        <f t="shared" si="28"/>
        <v>PROGRAM-22</v>
      </c>
      <c r="G155" s="222">
        <f t="shared" si="29"/>
        <v>6</v>
      </c>
      <c r="H155" s="284">
        <f t="shared" ca="1" si="30"/>
        <v>0</v>
      </c>
      <c r="I155" s="284">
        <f t="shared" ca="1" si="31"/>
        <v>0</v>
      </c>
      <c r="J155" s="287" t="s">
        <v>396</v>
      </c>
      <c r="W155" s="278" t="str">
        <f ca="1">AB155&amp;"-"&amp;COUNTIF($AB$2:$AB155,$AB155)</f>
        <v>0-2-0-55</v>
      </c>
      <c r="X155" s="278" t="s">
        <v>396</v>
      </c>
      <c r="Y155" s="289">
        <f t="shared" ca="1" si="32"/>
        <v>0</v>
      </c>
      <c r="Z155" s="271">
        <v>2</v>
      </c>
      <c r="AA155" s="277">
        <f t="shared" ca="1" si="33"/>
        <v>0</v>
      </c>
      <c r="AB155" s="279" t="str">
        <f t="shared" ca="1" si="34"/>
        <v>0-2-0</v>
      </c>
    </row>
    <row r="156" spans="1:28" x14ac:dyDescent="0.25">
      <c r="A156" s="281" t="s">
        <v>85</v>
      </c>
      <c r="B156" s="281" t="s">
        <v>144</v>
      </c>
      <c r="C156" s="281" t="s">
        <v>397</v>
      </c>
      <c r="D156" s="281" t="s">
        <v>176</v>
      </c>
      <c r="E156" s="281">
        <v>2</v>
      </c>
      <c r="F156" s="222" t="str">
        <f t="shared" si="28"/>
        <v>PROGRAM-22</v>
      </c>
      <c r="G156" s="222">
        <f t="shared" si="29"/>
        <v>6</v>
      </c>
      <c r="H156" s="284">
        <f t="shared" ca="1" si="30"/>
        <v>0</v>
      </c>
      <c r="I156" s="284">
        <f t="shared" ca="1" si="31"/>
        <v>0</v>
      </c>
      <c r="J156" s="287" t="s">
        <v>397</v>
      </c>
      <c r="W156" s="278" t="str">
        <f ca="1">AB156&amp;"-"&amp;COUNTIF($AB$2:$AB156,$AB156)</f>
        <v>0-2-0-56</v>
      </c>
      <c r="X156" s="278" t="s">
        <v>397</v>
      </c>
      <c r="Y156" s="289">
        <f t="shared" ca="1" si="32"/>
        <v>0</v>
      </c>
      <c r="Z156" s="271">
        <v>2</v>
      </c>
      <c r="AA156" s="277">
        <f t="shared" ca="1" si="33"/>
        <v>0</v>
      </c>
      <c r="AB156" s="279" t="str">
        <f t="shared" ca="1" si="34"/>
        <v>0-2-0</v>
      </c>
    </row>
    <row r="157" spans="1:28" x14ac:dyDescent="0.25">
      <c r="A157" s="281" t="s">
        <v>85</v>
      </c>
      <c r="B157" s="281" t="s">
        <v>144</v>
      </c>
      <c r="C157" s="281" t="s">
        <v>398</v>
      </c>
      <c r="D157" s="281" t="s">
        <v>178</v>
      </c>
      <c r="E157" s="281">
        <v>2</v>
      </c>
      <c r="F157" s="222" t="str">
        <f t="shared" si="28"/>
        <v>PROGRAM-22</v>
      </c>
      <c r="G157" s="222">
        <f t="shared" si="29"/>
        <v>6</v>
      </c>
      <c r="H157" s="284">
        <f t="shared" ca="1" si="30"/>
        <v>0</v>
      </c>
      <c r="I157" s="284">
        <f t="shared" ca="1" si="31"/>
        <v>0</v>
      </c>
      <c r="J157" s="287" t="s">
        <v>398</v>
      </c>
      <c r="W157" s="278" t="str">
        <f ca="1">AB157&amp;"-"&amp;COUNTIF($AB$2:$AB157,$AB157)</f>
        <v>0-2-0-57</v>
      </c>
      <c r="X157" s="278" t="s">
        <v>398</v>
      </c>
      <c r="Y157" s="289">
        <f t="shared" ca="1" si="32"/>
        <v>0</v>
      </c>
      <c r="Z157" s="271">
        <v>2</v>
      </c>
      <c r="AA157" s="277">
        <f t="shared" ca="1" si="33"/>
        <v>0</v>
      </c>
      <c r="AB157" s="279" t="str">
        <f t="shared" ca="1" si="34"/>
        <v>0-2-0</v>
      </c>
    </row>
    <row r="158" spans="1:28" x14ac:dyDescent="0.25">
      <c r="A158" s="281" t="s">
        <v>85</v>
      </c>
      <c r="B158" s="281" t="s">
        <v>144</v>
      </c>
      <c r="C158" s="281" t="s">
        <v>399</v>
      </c>
      <c r="D158" s="281" t="s">
        <v>209</v>
      </c>
      <c r="E158" s="281">
        <v>3</v>
      </c>
      <c r="F158" s="222" t="str">
        <f t="shared" si="28"/>
        <v>PROGRAM-23</v>
      </c>
      <c r="G158" s="222">
        <f t="shared" si="29"/>
        <v>4</v>
      </c>
      <c r="H158" s="284">
        <f t="shared" ca="1" si="30"/>
        <v>0</v>
      </c>
      <c r="I158" s="284">
        <f t="shared" ca="1" si="31"/>
        <v>0</v>
      </c>
      <c r="J158" s="287" t="s">
        <v>399</v>
      </c>
      <c r="W158" s="278" t="str">
        <f ca="1">AB158&amp;"-"&amp;COUNTIF($AB$2:$AB158,$AB158)</f>
        <v>0-3-0-35</v>
      </c>
      <c r="X158" s="278" t="s">
        <v>399</v>
      </c>
      <c r="Y158" s="289">
        <f t="shared" ca="1" si="32"/>
        <v>0</v>
      </c>
      <c r="Z158" s="271">
        <v>3</v>
      </c>
      <c r="AA158" s="277">
        <f t="shared" ca="1" si="33"/>
        <v>0</v>
      </c>
      <c r="AB158" s="279" t="str">
        <f t="shared" ca="1" si="34"/>
        <v>0-3-0</v>
      </c>
    </row>
    <row r="159" spans="1:28" x14ac:dyDescent="0.25">
      <c r="A159" s="281" t="s">
        <v>85</v>
      </c>
      <c r="B159" s="281" t="s">
        <v>144</v>
      </c>
      <c r="C159" s="281" t="s">
        <v>400</v>
      </c>
      <c r="D159" s="281" t="s">
        <v>211</v>
      </c>
      <c r="E159" s="281">
        <v>3</v>
      </c>
      <c r="F159" s="222" t="str">
        <f t="shared" si="28"/>
        <v>PROGRAM-23</v>
      </c>
      <c r="G159" s="222">
        <f t="shared" si="29"/>
        <v>4</v>
      </c>
      <c r="H159" s="284">
        <f t="shared" ca="1" si="30"/>
        <v>0</v>
      </c>
      <c r="I159" s="284">
        <f t="shared" ca="1" si="31"/>
        <v>0</v>
      </c>
      <c r="J159" s="287" t="s">
        <v>400</v>
      </c>
      <c r="W159" s="278" t="str">
        <f ca="1">AB159&amp;"-"&amp;COUNTIF($AB$2:$AB159,$AB159)</f>
        <v>0-3-0-36</v>
      </c>
      <c r="X159" s="278" t="s">
        <v>400</v>
      </c>
      <c r="Y159" s="289">
        <f t="shared" ca="1" si="32"/>
        <v>0</v>
      </c>
      <c r="Z159" s="271">
        <v>3</v>
      </c>
      <c r="AA159" s="277">
        <f t="shared" ca="1" si="33"/>
        <v>0</v>
      </c>
      <c r="AB159" s="279" t="str">
        <f t="shared" ca="1" si="34"/>
        <v>0-3-0</v>
      </c>
    </row>
    <row r="160" spans="1:28" x14ac:dyDescent="0.25">
      <c r="A160" s="281" t="s">
        <v>85</v>
      </c>
      <c r="B160" s="281" t="s">
        <v>144</v>
      </c>
      <c r="C160" s="281" t="s">
        <v>401</v>
      </c>
      <c r="D160" s="281" t="s">
        <v>213</v>
      </c>
      <c r="E160" s="281">
        <v>3</v>
      </c>
      <c r="F160" s="222" t="str">
        <f t="shared" si="28"/>
        <v>PROGRAM-23</v>
      </c>
      <c r="G160" s="222">
        <f t="shared" si="29"/>
        <v>4</v>
      </c>
      <c r="H160" s="284">
        <f t="shared" ca="1" si="30"/>
        <v>0</v>
      </c>
      <c r="I160" s="284">
        <f t="shared" ca="1" si="31"/>
        <v>0</v>
      </c>
      <c r="J160" s="287" t="s">
        <v>401</v>
      </c>
      <c r="W160" s="278" t="str">
        <f ca="1">AB160&amp;"-"&amp;COUNTIF($AB$2:$AB160,$AB160)</f>
        <v>0-3-0-37</v>
      </c>
      <c r="X160" s="278" t="s">
        <v>401</v>
      </c>
      <c r="Y160" s="289">
        <f t="shared" ca="1" si="32"/>
        <v>0</v>
      </c>
      <c r="Z160" s="271">
        <v>3</v>
      </c>
      <c r="AA160" s="277">
        <f t="shared" ca="1" si="33"/>
        <v>0</v>
      </c>
      <c r="AB160" s="279" t="str">
        <f t="shared" ca="1" si="34"/>
        <v>0-3-0</v>
      </c>
    </row>
    <row r="161" spans="1:28" x14ac:dyDescent="0.25">
      <c r="A161" s="281" t="s">
        <v>85</v>
      </c>
      <c r="B161" s="281" t="s">
        <v>144</v>
      </c>
      <c r="C161" s="281" t="s">
        <v>402</v>
      </c>
      <c r="D161" s="281" t="s">
        <v>215</v>
      </c>
      <c r="E161" s="281">
        <v>3</v>
      </c>
      <c r="F161" s="222" t="str">
        <f t="shared" si="28"/>
        <v>PROGRAM-23</v>
      </c>
      <c r="G161" s="222">
        <f t="shared" si="29"/>
        <v>4</v>
      </c>
      <c r="H161" s="284">
        <f t="shared" ca="1" si="30"/>
        <v>0</v>
      </c>
      <c r="I161" s="284">
        <f t="shared" ca="1" si="31"/>
        <v>0</v>
      </c>
      <c r="J161" s="287" t="s">
        <v>402</v>
      </c>
      <c r="W161" s="278" t="str">
        <f ca="1">AB161&amp;"-"&amp;COUNTIF($AB$2:$AB161,$AB161)</f>
        <v>0-3-0-38</v>
      </c>
      <c r="X161" s="278" t="s">
        <v>402</v>
      </c>
      <c r="Y161" s="289">
        <f t="shared" ca="1" si="32"/>
        <v>0</v>
      </c>
      <c r="Z161" s="271">
        <v>3</v>
      </c>
      <c r="AA161" s="277">
        <f t="shared" ca="1" si="33"/>
        <v>0</v>
      </c>
      <c r="AB161" s="279" t="str">
        <f t="shared" ca="1" si="34"/>
        <v>0-3-0</v>
      </c>
    </row>
    <row r="162" spans="1:28" x14ac:dyDescent="0.25">
      <c r="A162" s="281" t="s">
        <v>85</v>
      </c>
      <c r="B162" s="281" t="s">
        <v>147</v>
      </c>
      <c r="C162" s="281" t="s">
        <v>403</v>
      </c>
      <c r="D162" s="281" t="s">
        <v>25</v>
      </c>
      <c r="E162" s="281">
        <v>1</v>
      </c>
      <c r="F162" s="222" t="str">
        <f t="shared" si="28"/>
        <v>PROGRAM-31</v>
      </c>
      <c r="G162" s="222">
        <f t="shared" si="29"/>
        <v>2</v>
      </c>
      <c r="H162" s="284">
        <f t="shared" ca="1" si="30"/>
        <v>0</v>
      </c>
      <c r="I162" s="284">
        <f t="shared" ca="1" si="31"/>
        <v>0</v>
      </c>
      <c r="J162" s="287" t="s">
        <v>403</v>
      </c>
      <c r="W162" s="278" t="str">
        <f ca="1">AB162&amp;"-"&amp;COUNTIF($AB$2:$AB162,$AB162)</f>
        <v>0-1-0-34</v>
      </c>
      <c r="X162" s="278" t="s">
        <v>403</v>
      </c>
      <c r="Y162" s="289">
        <f t="shared" ref="Y162:Y180" ca="1" si="35">VLOOKUP(LEFT($X162,LEN($X162)-1),$K:$O,5,FALSE)</f>
        <v>0</v>
      </c>
      <c r="Z162" s="271">
        <v>1</v>
      </c>
      <c r="AA162" s="277">
        <f t="shared" ca="1" si="33"/>
        <v>0</v>
      </c>
      <c r="AB162" s="279" t="str">
        <f t="shared" ca="1" si="34"/>
        <v>0-1-0</v>
      </c>
    </row>
    <row r="163" spans="1:28" x14ac:dyDescent="0.25">
      <c r="A163" s="281" t="s">
        <v>85</v>
      </c>
      <c r="B163" s="281" t="s">
        <v>147</v>
      </c>
      <c r="C163" s="281" t="s">
        <v>404</v>
      </c>
      <c r="D163" s="281" t="s">
        <v>26</v>
      </c>
      <c r="E163" s="281">
        <v>1</v>
      </c>
      <c r="F163" s="222" t="str">
        <f t="shared" si="28"/>
        <v>PROGRAM-31</v>
      </c>
      <c r="G163" s="222">
        <f t="shared" si="29"/>
        <v>2</v>
      </c>
      <c r="H163" s="284">
        <f t="shared" ca="1" si="30"/>
        <v>0</v>
      </c>
      <c r="I163" s="284">
        <f t="shared" ca="1" si="31"/>
        <v>0</v>
      </c>
      <c r="J163" s="287" t="s">
        <v>404</v>
      </c>
      <c r="W163" s="278" t="str">
        <f ca="1">AB163&amp;"-"&amp;COUNTIF($AB$2:$AB163,$AB163)</f>
        <v>0-1-0-35</v>
      </c>
      <c r="X163" s="278" t="s">
        <v>404</v>
      </c>
      <c r="Y163" s="289">
        <f t="shared" ca="1" si="35"/>
        <v>0</v>
      </c>
      <c r="Z163" s="271">
        <v>1</v>
      </c>
      <c r="AA163" s="277">
        <f t="shared" ca="1" si="33"/>
        <v>0</v>
      </c>
      <c r="AB163" s="279" t="str">
        <f t="shared" ca="1" si="34"/>
        <v>0-1-0</v>
      </c>
    </row>
    <row r="164" spans="1:28" x14ac:dyDescent="0.25">
      <c r="A164" s="281" t="s">
        <v>85</v>
      </c>
      <c r="B164" s="281" t="s">
        <v>147</v>
      </c>
      <c r="C164" s="281" t="s">
        <v>405</v>
      </c>
      <c r="D164" s="281" t="s">
        <v>27</v>
      </c>
      <c r="E164" s="281">
        <v>2</v>
      </c>
      <c r="F164" s="222" t="str">
        <f t="shared" si="28"/>
        <v>PROGRAM-32</v>
      </c>
      <c r="G164" s="222">
        <f t="shared" si="29"/>
        <v>6</v>
      </c>
      <c r="H164" s="284">
        <f t="shared" ca="1" si="30"/>
        <v>0</v>
      </c>
      <c r="I164" s="284">
        <f t="shared" ca="1" si="31"/>
        <v>0</v>
      </c>
      <c r="J164" s="287" t="s">
        <v>405</v>
      </c>
      <c r="W164" s="278" t="str">
        <f ca="1">AB164&amp;"-"&amp;COUNTIF($AB$2:$AB164,$AB164)</f>
        <v>0-2-0-58</v>
      </c>
      <c r="X164" s="278" t="s">
        <v>405</v>
      </c>
      <c r="Y164" s="289">
        <f t="shared" ca="1" si="35"/>
        <v>0</v>
      </c>
      <c r="Z164" s="271">
        <v>2</v>
      </c>
      <c r="AA164" s="277">
        <f t="shared" ca="1" si="33"/>
        <v>0</v>
      </c>
      <c r="AB164" s="279" t="str">
        <f t="shared" ca="1" si="34"/>
        <v>0-2-0</v>
      </c>
    </row>
    <row r="165" spans="1:28" x14ac:dyDescent="0.25">
      <c r="A165" s="281" t="s">
        <v>85</v>
      </c>
      <c r="B165" s="281" t="s">
        <v>147</v>
      </c>
      <c r="C165" s="281" t="s">
        <v>406</v>
      </c>
      <c r="D165" s="281" t="s">
        <v>28</v>
      </c>
      <c r="E165" s="281">
        <v>2</v>
      </c>
      <c r="F165" s="222" t="str">
        <f t="shared" si="28"/>
        <v>PROGRAM-32</v>
      </c>
      <c r="G165" s="222">
        <f t="shared" si="29"/>
        <v>6</v>
      </c>
      <c r="H165" s="284">
        <f t="shared" ca="1" si="30"/>
        <v>0</v>
      </c>
      <c r="I165" s="284">
        <f t="shared" ca="1" si="31"/>
        <v>0</v>
      </c>
      <c r="J165" s="287" t="s">
        <v>406</v>
      </c>
      <c r="W165" s="278" t="str">
        <f ca="1">AB165&amp;"-"&amp;COUNTIF($AB$2:$AB165,$AB165)</f>
        <v>0-2-0-59</v>
      </c>
      <c r="X165" s="278" t="s">
        <v>406</v>
      </c>
      <c r="Y165" s="289">
        <f t="shared" ca="1" si="35"/>
        <v>0</v>
      </c>
      <c r="Z165" s="271">
        <v>2</v>
      </c>
      <c r="AA165" s="277">
        <f t="shared" ca="1" si="33"/>
        <v>0</v>
      </c>
      <c r="AB165" s="279" t="str">
        <f t="shared" ca="1" si="34"/>
        <v>0-2-0</v>
      </c>
    </row>
    <row r="166" spans="1:28" x14ac:dyDescent="0.25">
      <c r="A166" s="281" t="s">
        <v>85</v>
      </c>
      <c r="B166" s="281" t="s">
        <v>147</v>
      </c>
      <c r="C166" s="281" t="s">
        <v>407</v>
      </c>
      <c r="D166" s="281" t="s">
        <v>29</v>
      </c>
      <c r="E166" s="281">
        <v>2</v>
      </c>
      <c r="F166" s="222" t="str">
        <f t="shared" si="28"/>
        <v>PROGRAM-32</v>
      </c>
      <c r="G166" s="222">
        <f t="shared" si="29"/>
        <v>6</v>
      </c>
      <c r="H166" s="284">
        <f t="shared" ca="1" si="30"/>
        <v>0</v>
      </c>
      <c r="I166" s="284">
        <f t="shared" ca="1" si="31"/>
        <v>0</v>
      </c>
      <c r="J166" s="287" t="s">
        <v>407</v>
      </c>
      <c r="W166" s="278" t="str">
        <f ca="1">AB166&amp;"-"&amp;COUNTIF($AB$2:$AB166,$AB166)</f>
        <v>0-2-0-60</v>
      </c>
      <c r="X166" s="278" t="s">
        <v>407</v>
      </c>
      <c r="Y166" s="289">
        <f t="shared" ca="1" si="35"/>
        <v>0</v>
      </c>
      <c r="Z166" s="271">
        <v>2</v>
      </c>
      <c r="AA166" s="277">
        <f t="shared" ca="1" si="33"/>
        <v>0</v>
      </c>
      <c r="AB166" s="279" t="str">
        <f t="shared" ca="1" si="34"/>
        <v>0-2-0</v>
      </c>
    </row>
    <row r="167" spans="1:28" x14ac:dyDescent="0.25">
      <c r="A167" s="281" t="s">
        <v>85</v>
      </c>
      <c r="B167" s="281" t="s">
        <v>147</v>
      </c>
      <c r="C167" s="281" t="s">
        <v>408</v>
      </c>
      <c r="D167" s="281" t="s">
        <v>30</v>
      </c>
      <c r="E167" s="281">
        <v>2</v>
      </c>
      <c r="F167" s="222" t="str">
        <f t="shared" si="28"/>
        <v>PROGRAM-32</v>
      </c>
      <c r="G167" s="222">
        <f t="shared" si="29"/>
        <v>6</v>
      </c>
      <c r="H167" s="284">
        <f t="shared" ca="1" si="30"/>
        <v>0</v>
      </c>
      <c r="I167" s="284">
        <f t="shared" ca="1" si="31"/>
        <v>0</v>
      </c>
      <c r="J167" s="287" t="s">
        <v>408</v>
      </c>
      <c r="W167" s="278" t="str">
        <f ca="1">AB167&amp;"-"&amp;COUNTIF($AB$2:$AB167,$AB167)</f>
        <v>0-2-0-61</v>
      </c>
      <c r="X167" s="278" t="s">
        <v>408</v>
      </c>
      <c r="Y167" s="289">
        <f t="shared" ca="1" si="35"/>
        <v>0</v>
      </c>
      <c r="Z167" s="271">
        <v>2</v>
      </c>
      <c r="AA167" s="277">
        <f t="shared" ca="1" si="33"/>
        <v>0</v>
      </c>
      <c r="AB167" s="279" t="str">
        <f t="shared" ca="1" si="34"/>
        <v>0-2-0</v>
      </c>
    </row>
    <row r="168" spans="1:28" x14ac:dyDescent="0.25">
      <c r="A168" s="281" t="s">
        <v>85</v>
      </c>
      <c r="B168" s="281" t="s">
        <v>147</v>
      </c>
      <c r="C168" s="281" t="s">
        <v>409</v>
      </c>
      <c r="D168" s="281" t="s">
        <v>31</v>
      </c>
      <c r="E168" s="281">
        <v>2</v>
      </c>
      <c r="F168" s="222" t="str">
        <f t="shared" si="28"/>
        <v>PROGRAM-32</v>
      </c>
      <c r="G168" s="222">
        <f t="shared" si="29"/>
        <v>6</v>
      </c>
      <c r="H168" s="284">
        <f t="shared" ca="1" si="30"/>
        <v>0</v>
      </c>
      <c r="I168" s="284">
        <f t="shared" ca="1" si="31"/>
        <v>0</v>
      </c>
      <c r="J168" s="287" t="s">
        <v>409</v>
      </c>
      <c r="W168" s="278" t="str">
        <f ca="1">AB168&amp;"-"&amp;COUNTIF($AB$2:$AB168,$AB168)</f>
        <v>0-2-0-62</v>
      </c>
      <c r="X168" s="278" t="s">
        <v>409</v>
      </c>
      <c r="Y168" s="289">
        <f t="shared" ca="1" si="35"/>
        <v>0</v>
      </c>
      <c r="Z168" s="271">
        <v>2</v>
      </c>
      <c r="AA168" s="277">
        <f t="shared" ca="1" si="33"/>
        <v>0</v>
      </c>
      <c r="AB168" s="279" t="str">
        <f t="shared" ca="1" si="34"/>
        <v>0-2-0</v>
      </c>
    </row>
    <row r="169" spans="1:28" x14ac:dyDescent="0.25">
      <c r="A169" s="281" t="s">
        <v>85</v>
      </c>
      <c r="B169" s="281" t="s">
        <v>147</v>
      </c>
      <c r="C169" s="281" t="s">
        <v>410</v>
      </c>
      <c r="D169" s="281" t="s">
        <v>247</v>
      </c>
      <c r="E169" s="281">
        <v>2</v>
      </c>
      <c r="F169" s="222" t="str">
        <f t="shared" si="28"/>
        <v>PROGRAM-32</v>
      </c>
      <c r="G169" s="222">
        <f t="shared" si="29"/>
        <v>6</v>
      </c>
      <c r="H169" s="284">
        <f t="shared" ca="1" si="30"/>
        <v>0</v>
      </c>
      <c r="I169" s="284">
        <f t="shared" ca="1" si="31"/>
        <v>0</v>
      </c>
      <c r="J169" s="287" t="s">
        <v>410</v>
      </c>
      <c r="W169" s="278" t="str">
        <f ca="1">AB169&amp;"-"&amp;COUNTIF($AB$2:$AB169,$AB169)</f>
        <v>0-2-0-63</v>
      </c>
      <c r="X169" s="278" t="s">
        <v>410</v>
      </c>
      <c r="Y169" s="289">
        <f t="shared" ca="1" si="35"/>
        <v>0</v>
      </c>
      <c r="Z169" s="271">
        <v>2</v>
      </c>
      <c r="AA169" s="277">
        <f t="shared" ca="1" si="33"/>
        <v>0</v>
      </c>
      <c r="AB169" s="279" t="str">
        <f t="shared" ca="1" si="34"/>
        <v>0-2-0</v>
      </c>
    </row>
    <row r="170" spans="1:28" x14ac:dyDescent="0.25">
      <c r="A170" s="281" t="s">
        <v>85</v>
      </c>
      <c r="B170" s="281" t="s">
        <v>147</v>
      </c>
      <c r="C170" s="281" t="s">
        <v>411</v>
      </c>
      <c r="D170" s="281" t="s">
        <v>280</v>
      </c>
      <c r="E170" s="281">
        <v>3</v>
      </c>
      <c r="F170" s="222" t="str">
        <f t="shared" si="28"/>
        <v>PROGRAM-33</v>
      </c>
      <c r="G170" s="222">
        <f t="shared" si="29"/>
        <v>5</v>
      </c>
      <c r="H170" s="284">
        <f t="shared" ca="1" si="30"/>
        <v>0</v>
      </c>
      <c r="I170" s="284">
        <f t="shared" ca="1" si="31"/>
        <v>0</v>
      </c>
      <c r="J170" s="287" t="s">
        <v>411</v>
      </c>
      <c r="W170" s="278" t="str">
        <f ca="1">AB170&amp;"-"&amp;COUNTIF($AB$2:$AB170,$AB170)</f>
        <v>0-3-0-39</v>
      </c>
      <c r="X170" s="278" t="s">
        <v>411</v>
      </c>
      <c r="Y170" s="289">
        <f t="shared" ca="1" si="35"/>
        <v>0</v>
      </c>
      <c r="Z170" s="271">
        <v>3</v>
      </c>
      <c r="AA170" s="277">
        <f t="shared" ca="1" si="33"/>
        <v>0</v>
      </c>
      <c r="AB170" s="279" t="str">
        <f t="shared" ca="1" si="34"/>
        <v>0-3-0</v>
      </c>
    </row>
    <row r="171" spans="1:28" x14ac:dyDescent="0.25">
      <c r="A171" s="281" t="s">
        <v>85</v>
      </c>
      <c r="B171" s="281" t="s">
        <v>147</v>
      </c>
      <c r="C171" s="281" t="s">
        <v>412</v>
      </c>
      <c r="D171" s="281" t="s">
        <v>282</v>
      </c>
      <c r="E171" s="281">
        <v>3</v>
      </c>
      <c r="F171" s="222" t="str">
        <f t="shared" si="28"/>
        <v>PROGRAM-33</v>
      </c>
      <c r="G171" s="222">
        <f t="shared" si="29"/>
        <v>5</v>
      </c>
      <c r="H171" s="284">
        <f t="shared" ca="1" si="30"/>
        <v>0</v>
      </c>
      <c r="I171" s="284">
        <f t="shared" ca="1" si="31"/>
        <v>0</v>
      </c>
      <c r="J171" s="287" t="s">
        <v>412</v>
      </c>
      <c r="W171" s="278" t="str">
        <f ca="1">AB171&amp;"-"&amp;COUNTIF($AB$2:$AB171,$AB171)</f>
        <v>0-3-0-40</v>
      </c>
      <c r="X171" s="278" t="s">
        <v>412</v>
      </c>
      <c r="Y171" s="289">
        <f t="shared" ca="1" si="35"/>
        <v>0</v>
      </c>
      <c r="Z171" s="271">
        <v>3</v>
      </c>
      <c r="AA171" s="277">
        <f t="shared" ca="1" si="33"/>
        <v>0</v>
      </c>
      <c r="AB171" s="279" t="str">
        <f t="shared" ca="1" si="34"/>
        <v>0-3-0</v>
      </c>
    </row>
    <row r="172" spans="1:28" x14ac:dyDescent="0.25">
      <c r="A172" s="281" t="s">
        <v>85</v>
      </c>
      <c r="B172" s="281" t="s">
        <v>147</v>
      </c>
      <c r="C172" s="281" t="s">
        <v>413</v>
      </c>
      <c r="D172" s="281" t="s">
        <v>414</v>
      </c>
      <c r="E172" s="281">
        <v>3</v>
      </c>
      <c r="F172" s="222" t="str">
        <f t="shared" si="28"/>
        <v>PROGRAM-33</v>
      </c>
      <c r="G172" s="222">
        <f t="shared" si="29"/>
        <v>5</v>
      </c>
      <c r="H172" s="284">
        <f t="shared" ca="1" si="30"/>
        <v>0</v>
      </c>
      <c r="I172" s="284">
        <f t="shared" ca="1" si="31"/>
        <v>0</v>
      </c>
      <c r="J172" s="287" t="s">
        <v>413</v>
      </c>
      <c r="W172" s="278" t="str">
        <f ca="1">AB172&amp;"-"&amp;COUNTIF($AB$2:$AB172,$AB172)</f>
        <v>0-3-0-41</v>
      </c>
      <c r="X172" s="278" t="s">
        <v>413</v>
      </c>
      <c r="Y172" s="289">
        <f t="shared" ca="1" si="35"/>
        <v>0</v>
      </c>
      <c r="Z172" s="271">
        <v>3</v>
      </c>
      <c r="AA172" s="277">
        <f t="shared" ca="1" si="33"/>
        <v>0</v>
      </c>
      <c r="AB172" s="279" t="str">
        <f t="shared" ca="1" si="34"/>
        <v>0-3-0</v>
      </c>
    </row>
    <row r="173" spans="1:28" x14ac:dyDescent="0.25">
      <c r="A173" s="281" t="s">
        <v>85</v>
      </c>
      <c r="B173" s="281" t="s">
        <v>147</v>
      </c>
      <c r="C173" s="281" t="s">
        <v>415</v>
      </c>
      <c r="D173" s="281" t="s">
        <v>416</v>
      </c>
      <c r="E173" s="281">
        <v>3</v>
      </c>
      <c r="F173" s="222" t="str">
        <f t="shared" si="28"/>
        <v>PROGRAM-33</v>
      </c>
      <c r="G173" s="222">
        <f t="shared" si="29"/>
        <v>5</v>
      </c>
      <c r="H173" s="284">
        <f t="shared" ca="1" si="30"/>
        <v>0</v>
      </c>
      <c r="I173" s="284">
        <f t="shared" ca="1" si="31"/>
        <v>0</v>
      </c>
      <c r="J173" s="287" t="s">
        <v>415</v>
      </c>
      <c r="W173" s="278" t="str">
        <f ca="1">AB173&amp;"-"&amp;COUNTIF($AB$2:$AB173,$AB173)</f>
        <v>0-3-0-42</v>
      </c>
      <c r="X173" s="278" t="s">
        <v>415</v>
      </c>
      <c r="Y173" s="289">
        <f t="shared" ca="1" si="35"/>
        <v>0</v>
      </c>
      <c r="Z173" s="271">
        <v>3</v>
      </c>
      <c r="AA173" s="277">
        <f t="shared" ca="1" si="33"/>
        <v>0</v>
      </c>
      <c r="AB173" s="279" t="str">
        <f t="shared" ca="1" si="34"/>
        <v>0-3-0</v>
      </c>
    </row>
    <row r="174" spans="1:28" x14ac:dyDescent="0.25">
      <c r="A174" s="281" t="s">
        <v>85</v>
      </c>
      <c r="B174" s="281" t="s">
        <v>147</v>
      </c>
      <c r="C174" s="281" t="s">
        <v>417</v>
      </c>
      <c r="D174" s="281" t="s">
        <v>418</v>
      </c>
      <c r="E174" s="281">
        <v>3</v>
      </c>
      <c r="F174" s="222" t="str">
        <f t="shared" si="28"/>
        <v>PROGRAM-33</v>
      </c>
      <c r="G174" s="222">
        <f t="shared" si="29"/>
        <v>5</v>
      </c>
      <c r="H174" s="284">
        <f t="shared" ca="1" si="30"/>
        <v>0</v>
      </c>
      <c r="I174" s="284">
        <f t="shared" ca="1" si="31"/>
        <v>0</v>
      </c>
      <c r="J174" s="287" t="s">
        <v>417</v>
      </c>
      <c r="W174" s="278" t="str">
        <f ca="1">AB174&amp;"-"&amp;COUNTIF($AB$2:$AB174,$AB174)</f>
        <v>0-3-0-43</v>
      </c>
      <c r="X174" s="278" t="s">
        <v>417</v>
      </c>
      <c r="Y174" s="289">
        <f t="shared" ca="1" si="35"/>
        <v>0</v>
      </c>
      <c r="Z174" s="271">
        <v>3</v>
      </c>
      <c r="AA174" s="277">
        <f t="shared" ca="1" si="33"/>
        <v>0</v>
      </c>
      <c r="AB174" s="279" t="str">
        <f t="shared" ca="1" si="34"/>
        <v>0-3-0</v>
      </c>
    </row>
    <row r="175" spans="1:28" x14ac:dyDescent="0.25">
      <c r="A175" s="281" t="s">
        <v>85</v>
      </c>
      <c r="B175" s="281" t="s">
        <v>150</v>
      </c>
      <c r="C175" s="281" t="s">
        <v>419</v>
      </c>
      <c r="D175" s="281" t="s">
        <v>126</v>
      </c>
      <c r="E175" s="281">
        <v>2</v>
      </c>
      <c r="F175" s="222" t="str">
        <f t="shared" si="28"/>
        <v>PROGRAM-42</v>
      </c>
      <c r="G175" s="222">
        <f t="shared" si="29"/>
        <v>4</v>
      </c>
      <c r="H175" s="284">
        <f t="shared" ca="1" si="30"/>
        <v>0</v>
      </c>
      <c r="I175" s="284">
        <f t="shared" ca="1" si="31"/>
        <v>0</v>
      </c>
      <c r="J175" s="287" t="s">
        <v>419</v>
      </c>
      <c r="W175" s="278" t="str">
        <f ca="1">AB175&amp;"-"&amp;COUNTIF($AB$2:$AB175,$AB175)</f>
        <v>1-2-0-19</v>
      </c>
      <c r="X175" s="278" t="s">
        <v>419</v>
      </c>
      <c r="Y175" s="289">
        <f t="shared" ca="1" si="35"/>
        <v>1</v>
      </c>
      <c r="Z175" s="271">
        <v>2</v>
      </c>
      <c r="AA175" s="277">
        <f t="shared" ca="1" si="33"/>
        <v>0</v>
      </c>
      <c r="AB175" s="279" t="str">
        <f t="shared" ca="1" si="34"/>
        <v>1-2-0</v>
      </c>
    </row>
    <row r="176" spans="1:28" x14ac:dyDescent="0.25">
      <c r="A176" s="281" t="s">
        <v>85</v>
      </c>
      <c r="B176" s="281" t="s">
        <v>150</v>
      </c>
      <c r="C176" s="281" t="s">
        <v>420</v>
      </c>
      <c r="D176" s="281" t="s">
        <v>129</v>
      </c>
      <c r="E176" s="281">
        <v>2</v>
      </c>
      <c r="F176" s="222" t="str">
        <f t="shared" si="28"/>
        <v>PROGRAM-42</v>
      </c>
      <c r="G176" s="222">
        <f t="shared" si="29"/>
        <v>4</v>
      </c>
      <c r="H176" s="284">
        <f t="shared" ca="1" si="30"/>
        <v>0</v>
      </c>
      <c r="I176" s="284">
        <f t="shared" ca="1" si="31"/>
        <v>0</v>
      </c>
      <c r="J176" s="287" t="s">
        <v>420</v>
      </c>
      <c r="W176" s="278" t="str">
        <f ca="1">AB176&amp;"-"&amp;COUNTIF($AB$2:$AB176,$AB176)</f>
        <v>1-2-0-20</v>
      </c>
      <c r="X176" s="278" t="s">
        <v>420</v>
      </c>
      <c r="Y176" s="289">
        <f t="shared" ca="1" si="35"/>
        <v>1</v>
      </c>
      <c r="Z176" s="271">
        <v>2</v>
      </c>
      <c r="AA176" s="277">
        <f t="shared" ca="1" si="33"/>
        <v>0</v>
      </c>
      <c r="AB176" s="279" t="str">
        <f t="shared" ca="1" si="34"/>
        <v>1-2-0</v>
      </c>
    </row>
    <row r="177" spans="1:28" x14ac:dyDescent="0.25">
      <c r="A177" s="281" t="s">
        <v>85</v>
      </c>
      <c r="B177" s="281" t="s">
        <v>150</v>
      </c>
      <c r="C177" s="281" t="s">
        <v>421</v>
      </c>
      <c r="D177" s="281" t="s">
        <v>132</v>
      </c>
      <c r="E177" s="281">
        <v>2</v>
      </c>
      <c r="F177" s="222" t="str">
        <f t="shared" si="28"/>
        <v>PROGRAM-42</v>
      </c>
      <c r="G177" s="222">
        <f t="shared" si="29"/>
        <v>4</v>
      </c>
      <c r="H177" s="284">
        <f t="shared" ca="1" si="30"/>
        <v>0</v>
      </c>
      <c r="I177" s="284">
        <f t="shared" ca="1" si="31"/>
        <v>0</v>
      </c>
      <c r="J177" s="287" t="s">
        <v>421</v>
      </c>
      <c r="W177" s="278" t="str">
        <f ca="1">AB177&amp;"-"&amp;COUNTIF($AB$2:$AB177,$AB177)</f>
        <v>1-2-0-21</v>
      </c>
      <c r="X177" s="278" t="s">
        <v>421</v>
      </c>
      <c r="Y177" s="289">
        <f t="shared" ca="1" si="35"/>
        <v>1</v>
      </c>
      <c r="Z177" s="271">
        <v>2</v>
      </c>
      <c r="AA177" s="277">
        <f t="shared" ca="1" si="33"/>
        <v>0</v>
      </c>
      <c r="AB177" s="279" t="str">
        <f t="shared" ca="1" si="34"/>
        <v>1-2-0</v>
      </c>
    </row>
    <row r="178" spans="1:28" x14ac:dyDescent="0.25">
      <c r="A178" s="281" t="s">
        <v>85</v>
      </c>
      <c r="B178" s="281" t="s">
        <v>150</v>
      </c>
      <c r="C178" s="281" t="s">
        <v>422</v>
      </c>
      <c r="D178" s="281" t="s">
        <v>135</v>
      </c>
      <c r="E178" s="281">
        <v>2</v>
      </c>
      <c r="F178" s="222" t="str">
        <f t="shared" si="28"/>
        <v>PROGRAM-42</v>
      </c>
      <c r="G178" s="222">
        <f t="shared" si="29"/>
        <v>4</v>
      </c>
      <c r="H178" s="284">
        <f t="shared" ca="1" si="30"/>
        <v>0</v>
      </c>
      <c r="I178" s="284">
        <f t="shared" ca="1" si="31"/>
        <v>0</v>
      </c>
      <c r="J178" s="287" t="s">
        <v>422</v>
      </c>
      <c r="W178" s="278" t="str">
        <f ca="1">AB178&amp;"-"&amp;COUNTIF($AB$2:$AB178,$AB178)</f>
        <v>1-2-0-22</v>
      </c>
      <c r="X178" s="278" t="s">
        <v>422</v>
      </c>
      <c r="Y178" s="289">
        <f t="shared" ca="1" si="35"/>
        <v>1</v>
      </c>
      <c r="Z178" s="271">
        <v>2</v>
      </c>
      <c r="AA178" s="277">
        <f t="shared" ca="1" si="33"/>
        <v>0</v>
      </c>
      <c r="AB178" s="279" t="str">
        <f t="shared" ca="1" si="34"/>
        <v>1-2-0</v>
      </c>
    </row>
    <row r="179" spans="1:28" x14ac:dyDescent="0.25">
      <c r="A179" s="281" t="s">
        <v>85</v>
      </c>
      <c r="B179" s="281" t="s">
        <v>150</v>
      </c>
      <c r="C179" s="281" t="s">
        <v>423</v>
      </c>
      <c r="D179" s="281" t="s">
        <v>138</v>
      </c>
      <c r="E179" s="281">
        <v>3</v>
      </c>
      <c r="F179" s="222" t="str">
        <f t="shared" si="28"/>
        <v>PROGRAM-43</v>
      </c>
      <c r="G179" s="222">
        <f t="shared" si="29"/>
        <v>3</v>
      </c>
      <c r="H179" s="284">
        <f t="shared" ca="1" si="30"/>
        <v>0</v>
      </c>
      <c r="I179" s="284">
        <f t="shared" ca="1" si="31"/>
        <v>0</v>
      </c>
      <c r="J179" s="287" t="s">
        <v>423</v>
      </c>
      <c r="W179" s="278" t="str">
        <f ca="1">AB179&amp;"-"&amp;COUNTIF($AB$2:$AB179,$AB179)</f>
        <v>1-3-0-15</v>
      </c>
      <c r="X179" s="278" t="s">
        <v>423</v>
      </c>
      <c r="Y179" s="289">
        <f t="shared" ca="1" si="35"/>
        <v>1</v>
      </c>
      <c r="Z179" s="271">
        <v>3</v>
      </c>
      <c r="AA179" s="277">
        <f t="shared" ca="1" si="33"/>
        <v>0</v>
      </c>
      <c r="AB179" s="279" t="str">
        <f t="shared" ca="1" si="34"/>
        <v>1-3-0</v>
      </c>
    </row>
    <row r="180" spans="1:28" x14ac:dyDescent="0.25">
      <c r="A180" s="281" t="s">
        <v>85</v>
      </c>
      <c r="B180" s="281" t="s">
        <v>150</v>
      </c>
      <c r="C180" s="281" t="s">
        <v>424</v>
      </c>
      <c r="D180" s="281" t="s">
        <v>140</v>
      </c>
      <c r="E180" s="281">
        <v>3</v>
      </c>
      <c r="F180" s="222" t="str">
        <f t="shared" si="28"/>
        <v>PROGRAM-43</v>
      </c>
      <c r="G180" s="222">
        <f t="shared" si="29"/>
        <v>3</v>
      </c>
      <c r="H180" s="284">
        <f t="shared" ca="1" si="30"/>
        <v>0</v>
      </c>
      <c r="I180" s="284">
        <f t="shared" ca="1" si="31"/>
        <v>0</v>
      </c>
      <c r="J180" s="287" t="s">
        <v>424</v>
      </c>
      <c r="W180" s="278" t="str">
        <f ca="1">AB180&amp;"-"&amp;COUNTIF($AB$2:$AB180,$AB180)</f>
        <v>1-3-0-16</v>
      </c>
      <c r="X180" s="278" t="s">
        <v>424</v>
      </c>
      <c r="Y180" s="289">
        <f t="shared" ca="1" si="35"/>
        <v>1</v>
      </c>
      <c r="Z180" s="271">
        <v>3</v>
      </c>
      <c r="AA180" s="277">
        <f t="shared" ca="1" si="33"/>
        <v>0</v>
      </c>
      <c r="AB180" s="279" t="str">
        <f t="shared" ca="1" si="34"/>
        <v>1-3-0</v>
      </c>
    </row>
    <row r="181" spans="1:28" x14ac:dyDescent="0.25">
      <c r="A181" s="281" t="s">
        <v>85</v>
      </c>
      <c r="B181" s="281" t="s">
        <v>150</v>
      </c>
      <c r="C181" s="281" t="s">
        <v>1779</v>
      </c>
      <c r="D181" s="281" t="s">
        <v>255</v>
      </c>
      <c r="E181" s="281">
        <v>3</v>
      </c>
      <c r="F181" s="222" t="str">
        <f t="shared" si="28"/>
        <v>PROGRAM-43</v>
      </c>
      <c r="G181" s="222">
        <f t="shared" si="29"/>
        <v>3</v>
      </c>
      <c r="H181" s="284">
        <f t="shared" ca="1" si="30"/>
        <v>0</v>
      </c>
      <c r="I181" s="284">
        <f t="shared" ref="I181" ca="1" si="36">IFERROR(IF(H181&gt;2,1,0),0)</f>
        <v>0</v>
      </c>
      <c r="J181" s="287" t="s">
        <v>1779</v>
      </c>
      <c r="W181" s="278" t="str">
        <f ca="1">AB181&amp;"-"&amp;COUNTIF($AB$2:$AB181,$AB181)</f>
        <v>1-3-0-17</v>
      </c>
      <c r="X181" s="278" t="s">
        <v>1779</v>
      </c>
      <c r="Y181" s="289">
        <v>1</v>
      </c>
      <c r="Z181" s="271">
        <v>3</v>
      </c>
      <c r="AA181" s="277">
        <f t="shared" ca="1" si="33"/>
        <v>0</v>
      </c>
      <c r="AB181" s="279" t="str">
        <f t="shared" ref="AB181" ca="1" si="37">Y181&amp;"-"&amp;Z181&amp;"-"&amp;AA181</f>
        <v>1-3-0</v>
      </c>
    </row>
    <row r="182" spans="1:28" x14ac:dyDescent="0.25">
      <c r="A182" s="281" t="s">
        <v>74</v>
      </c>
      <c r="B182" s="281" t="s">
        <v>96</v>
      </c>
      <c r="C182" s="281" t="s">
        <v>256</v>
      </c>
      <c r="D182" s="281" t="s">
        <v>7</v>
      </c>
      <c r="E182" s="281">
        <v>1</v>
      </c>
      <c r="F182" s="222" t="str">
        <f t="shared" si="28"/>
        <v>RESPONSE-11</v>
      </c>
      <c r="G182" s="222">
        <f t="shared" si="29"/>
        <v>1</v>
      </c>
      <c r="H182" s="284">
        <f t="shared" ca="1" si="30"/>
        <v>0</v>
      </c>
      <c r="I182" s="284">
        <f t="shared" ca="1" si="31"/>
        <v>0</v>
      </c>
      <c r="J182" s="287" t="s">
        <v>256</v>
      </c>
      <c r="W182" s="278" t="str">
        <f ca="1">AB182&amp;"-"&amp;COUNTIF($AB$2:$AB182,$AB182)</f>
        <v>0-1-0-36</v>
      </c>
      <c r="X182" s="278" t="s">
        <v>256</v>
      </c>
      <c r="Y182" s="289">
        <f t="shared" ref="Y182:Y213" ca="1" si="38">VLOOKUP(LEFT($X182,LEN($X182)-1),$K:$O,5,FALSE)</f>
        <v>0</v>
      </c>
      <c r="Z182" s="271">
        <v>1</v>
      </c>
      <c r="AA182" s="277">
        <f t="shared" ca="1" si="33"/>
        <v>0</v>
      </c>
      <c r="AB182" s="279" t="str">
        <f t="shared" ca="1" si="34"/>
        <v>0-1-0</v>
      </c>
    </row>
    <row r="183" spans="1:28" x14ac:dyDescent="0.25">
      <c r="A183" s="281" t="s">
        <v>74</v>
      </c>
      <c r="B183" s="281" t="s">
        <v>96</v>
      </c>
      <c r="C183" s="281" t="s">
        <v>257</v>
      </c>
      <c r="D183" s="281" t="s">
        <v>9</v>
      </c>
      <c r="E183" s="281">
        <v>2</v>
      </c>
      <c r="F183" s="222" t="str">
        <f t="shared" si="28"/>
        <v>RESPONSE-12</v>
      </c>
      <c r="G183" s="222">
        <f t="shared" si="29"/>
        <v>2</v>
      </c>
      <c r="H183" s="284">
        <f t="shared" ca="1" si="30"/>
        <v>0</v>
      </c>
      <c r="I183" s="284">
        <f t="shared" ca="1" si="31"/>
        <v>0</v>
      </c>
      <c r="J183" s="287" t="s">
        <v>257</v>
      </c>
      <c r="W183" s="278" t="str">
        <f ca="1">AB183&amp;"-"&amp;COUNTIF($AB$2:$AB183,$AB183)</f>
        <v>0-2-0-64</v>
      </c>
      <c r="X183" s="278" t="s">
        <v>257</v>
      </c>
      <c r="Y183" s="289">
        <f t="shared" ca="1" si="38"/>
        <v>0</v>
      </c>
      <c r="Z183" s="271">
        <v>2</v>
      </c>
      <c r="AA183" s="277">
        <f t="shared" ca="1" si="33"/>
        <v>0</v>
      </c>
      <c r="AB183" s="279" t="str">
        <f t="shared" ca="1" si="34"/>
        <v>0-2-0</v>
      </c>
    </row>
    <row r="184" spans="1:28" x14ac:dyDescent="0.25">
      <c r="A184" s="281" t="s">
        <v>74</v>
      </c>
      <c r="B184" s="281" t="s">
        <v>96</v>
      </c>
      <c r="C184" s="281" t="s">
        <v>258</v>
      </c>
      <c r="D184" s="281" t="s">
        <v>10</v>
      </c>
      <c r="E184" s="281">
        <v>2</v>
      </c>
      <c r="F184" s="222" t="str">
        <f t="shared" si="28"/>
        <v>RESPONSE-12</v>
      </c>
      <c r="G184" s="222">
        <f t="shared" si="29"/>
        <v>2</v>
      </c>
      <c r="H184" s="284">
        <f t="shared" ca="1" si="30"/>
        <v>0</v>
      </c>
      <c r="I184" s="284">
        <f t="shared" ca="1" si="31"/>
        <v>0</v>
      </c>
      <c r="J184" s="287" t="s">
        <v>258</v>
      </c>
      <c r="W184" s="278" t="str">
        <f ca="1">AB184&amp;"-"&amp;COUNTIF($AB$2:$AB184,$AB184)</f>
        <v>0-2-0-65</v>
      </c>
      <c r="X184" s="278" t="s">
        <v>258</v>
      </c>
      <c r="Y184" s="289">
        <f t="shared" ca="1" si="38"/>
        <v>0</v>
      </c>
      <c r="Z184" s="271">
        <v>2</v>
      </c>
      <c r="AA184" s="277">
        <f t="shared" ca="1" si="33"/>
        <v>0</v>
      </c>
      <c r="AB184" s="279" t="str">
        <f t="shared" ca="1" si="34"/>
        <v>0-2-0</v>
      </c>
    </row>
    <row r="185" spans="1:28" x14ac:dyDescent="0.25">
      <c r="A185" s="281" t="s">
        <v>74</v>
      </c>
      <c r="B185" s="281" t="s">
        <v>96</v>
      </c>
      <c r="C185" s="281" t="s">
        <v>259</v>
      </c>
      <c r="D185" s="281" t="s">
        <v>11</v>
      </c>
      <c r="E185" s="281">
        <v>3</v>
      </c>
      <c r="F185" s="222" t="str">
        <f t="shared" si="28"/>
        <v>RESPONSE-13</v>
      </c>
      <c r="G185" s="222">
        <f t="shared" si="29"/>
        <v>3</v>
      </c>
      <c r="H185" s="284">
        <f t="shared" ca="1" si="30"/>
        <v>0</v>
      </c>
      <c r="I185" s="284">
        <f t="shared" ca="1" si="31"/>
        <v>0</v>
      </c>
      <c r="J185" s="287" t="s">
        <v>259</v>
      </c>
      <c r="W185" s="278" t="str">
        <f ca="1">AB185&amp;"-"&amp;COUNTIF($AB$2:$AB185,$AB185)</f>
        <v>0-3-0-44</v>
      </c>
      <c r="X185" s="278" t="s">
        <v>259</v>
      </c>
      <c r="Y185" s="289">
        <f t="shared" ca="1" si="38"/>
        <v>0</v>
      </c>
      <c r="Z185" s="271">
        <v>3</v>
      </c>
      <c r="AA185" s="277">
        <f t="shared" ca="1" si="33"/>
        <v>0</v>
      </c>
      <c r="AB185" s="279" t="str">
        <f t="shared" ca="1" si="34"/>
        <v>0-3-0</v>
      </c>
    </row>
    <row r="186" spans="1:28" x14ac:dyDescent="0.25">
      <c r="A186" s="281" t="s">
        <v>74</v>
      </c>
      <c r="B186" s="281" t="s">
        <v>96</v>
      </c>
      <c r="C186" s="281" t="s">
        <v>260</v>
      </c>
      <c r="D186" s="281" t="s">
        <v>12</v>
      </c>
      <c r="E186" s="281">
        <v>3</v>
      </c>
      <c r="F186" s="222" t="str">
        <f t="shared" si="28"/>
        <v>RESPONSE-13</v>
      </c>
      <c r="G186" s="222">
        <f t="shared" si="29"/>
        <v>3</v>
      </c>
      <c r="H186" s="284">
        <f t="shared" ca="1" si="30"/>
        <v>0</v>
      </c>
      <c r="I186" s="284">
        <f t="shared" ca="1" si="31"/>
        <v>0</v>
      </c>
      <c r="J186" s="287" t="s">
        <v>260</v>
      </c>
      <c r="W186" s="278" t="str">
        <f ca="1">AB186&amp;"-"&amp;COUNTIF($AB$2:$AB186,$AB186)</f>
        <v>0-3-0-45</v>
      </c>
      <c r="X186" s="278" t="s">
        <v>260</v>
      </c>
      <c r="Y186" s="289">
        <f t="shared" ca="1" si="38"/>
        <v>0</v>
      </c>
      <c r="Z186" s="271">
        <v>3</v>
      </c>
      <c r="AA186" s="277">
        <f t="shared" ca="1" si="33"/>
        <v>0</v>
      </c>
      <c r="AB186" s="279" t="str">
        <f t="shared" ca="1" si="34"/>
        <v>0-3-0</v>
      </c>
    </row>
    <row r="187" spans="1:28" x14ac:dyDescent="0.25">
      <c r="A187" s="281" t="s">
        <v>74</v>
      </c>
      <c r="B187" s="281" t="s">
        <v>96</v>
      </c>
      <c r="C187" s="281" t="s">
        <v>261</v>
      </c>
      <c r="D187" s="281" t="s">
        <v>13</v>
      </c>
      <c r="E187" s="281">
        <v>3</v>
      </c>
      <c r="F187" s="222" t="str">
        <f t="shared" si="28"/>
        <v>RESPONSE-13</v>
      </c>
      <c r="G187" s="222">
        <f t="shared" si="29"/>
        <v>3</v>
      </c>
      <c r="H187" s="284">
        <f t="shared" ca="1" si="30"/>
        <v>0</v>
      </c>
      <c r="I187" s="284">
        <f t="shared" ca="1" si="31"/>
        <v>0</v>
      </c>
      <c r="J187" s="287" t="s">
        <v>261</v>
      </c>
      <c r="W187" s="278" t="str">
        <f ca="1">AB187&amp;"-"&amp;COUNTIF($AB$2:$AB187,$AB187)</f>
        <v>0-3-0-46</v>
      </c>
      <c r="X187" s="278" t="s">
        <v>261</v>
      </c>
      <c r="Y187" s="289">
        <f t="shared" ca="1" si="38"/>
        <v>0</v>
      </c>
      <c r="Z187" s="271">
        <v>3</v>
      </c>
      <c r="AA187" s="277">
        <f t="shared" ca="1" si="33"/>
        <v>0</v>
      </c>
      <c r="AB187" s="279" t="str">
        <f t="shared" ca="1" si="34"/>
        <v>0-3-0</v>
      </c>
    </row>
    <row r="188" spans="1:28" x14ac:dyDescent="0.25">
      <c r="A188" s="281" t="s">
        <v>74</v>
      </c>
      <c r="B188" s="281" t="s">
        <v>98</v>
      </c>
      <c r="C188" s="281" t="s">
        <v>262</v>
      </c>
      <c r="D188" s="281" t="s">
        <v>20</v>
      </c>
      <c r="E188" s="281">
        <v>1</v>
      </c>
      <c r="F188" s="222" t="str">
        <f t="shared" si="28"/>
        <v>RESPONSE-21</v>
      </c>
      <c r="G188" s="222">
        <f t="shared" si="29"/>
        <v>2</v>
      </c>
      <c r="H188" s="284">
        <f t="shared" ca="1" si="30"/>
        <v>0</v>
      </c>
      <c r="I188" s="284">
        <f t="shared" ca="1" si="31"/>
        <v>0</v>
      </c>
      <c r="J188" s="287" t="s">
        <v>262</v>
      </c>
      <c r="W188" s="278" t="str">
        <f ca="1">AB188&amp;"-"&amp;COUNTIF($AB$2:$AB188,$AB188)</f>
        <v>0-1-0-37</v>
      </c>
      <c r="X188" s="278" t="s">
        <v>262</v>
      </c>
      <c r="Y188" s="289">
        <f t="shared" ca="1" si="38"/>
        <v>0</v>
      </c>
      <c r="Z188" s="271">
        <v>1</v>
      </c>
      <c r="AA188" s="277">
        <f t="shared" ca="1" si="33"/>
        <v>0</v>
      </c>
      <c r="AB188" s="279" t="str">
        <f t="shared" ca="1" si="34"/>
        <v>0-1-0</v>
      </c>
    </row>
    <row r="189" spans="1:28" x14ac:dyDescent="0.25">
      <c r="A189" s="281" t="s">
        <v>74</v>
      </c>
      <c r="B189" s="281" t="s">
        <v>98</v>
      </c>
      <c r="C189" s="281" t="s">
        <v>263</v>
      </c>
      <c r="D189" s="281" t="s">
        <v>21</v>
      </c>
      <c r="E189" s="281">
        <v>1</v>
      </c>
      <c r="F189" s="222" t="str">
        <f t="shared" si="28"/>
        <v>RESPONSE-21</v>
      </c>
      <c r="G189" s="222">
        <f t="shared" si="29"/>
        <v>2</v>
      </c>
      <c r="H189" s="284">
        <f t="shared" ca="1" si="30"/>
        <v>0</v>
      </c>
      <c r="I189" s="284">
        <f t="shared" ca="1" si="31"/>
        <v>0</v>
      </c>
      <c r="J189" s="287" t="s">
        <v>263</v>
      </c>
      <c r="W189" s="278" t="str">
        <f ca="1">AB189&amp;"-"&amp;COUNTIF($AB$2:$AB189,$AB189)</f>
        <v>0-1-0-38</v>
      </c>
      <c r="X189" s="278" t="s">
        <v>263</v>
      </c>
      <c r="Y189" s="289">
        <f t="shared" ca="1" si="38"/>
        <v>0</v>
      </c>
      <c r="Z189" s="271">
        <v>1</v>
      </c>
      <c r="AA189" s="277">
        <f t="shared" ca="1" si="33"/>
        <v>0</v>
      </c>
      <c r="AB189" s="279" t="str">
        <f t="shared" ca="1" si="34"/>
        <v>0-1-0</v>
      </c>
    </row>
    <row r="190" spans="1:28" x14ac:dyDescent="0.25">
      <c r="A190" s="281" t="s">
        <v>74</v>
      </c>
      <c r="B190" s="281" t="s">
        <v>98</v>
      </c>
      <c r="C190" s="281" t="s">
        <v>264</v>
      </c>
      <c r="D190" s="281" t="s">
        <v>22</v>
      </c>
      <c r="E190" s="281">
        <v>2</v>
      </c>
      <c r="F190" s="222" t="str">
        <f t="shared" si="28"/>
        <v>RESPONSE-22</v>
      </c>
      <c r="G190" s="222">
        <f t="shared" si="29"/>
        <v>5</v>
      </c>
      <c r="H190" s="284">
        <f t="shared" ca="1" si="30"/>
        <v>0</v>
      </c>
      <c r="I190" s="284">
        <f t="shared" ca="1" si="31"/>
        <v>0</v>
      </c>
      <c r="J190" s="287" t="s">
        <v>264</v>
      </c>
      <c r="W190" s="278" t="str">
        <f ca="1">AB190&amp;"-"&amp;COUNTIF($AB$2:$AB190,$AB190)</f>
        <v>0-2-0-66</v>
      </c>
      <c r="X190" s="278" t="s">
        <v>264</v>
      </c>
      <c r="Y190" s="289">
        <f t="shared" ca="1" si="38"/>
        <v>0</v>
      </c>
      <c r="Z190" s="271">
        <v>2</v>
      </c>
      <c r="AA190" s="277">
        <f t="shared" ca="1" si="33"/>
        <v>0</v>
      </c>
      <c r="AB190" s="279" t="str">
        <f t="shared" ca="1" si="34"/>
        <v>0-2-0</v>
      </c>
    </row>
    <row r="191" spans="1:28" x14ac:dyDescent="0.25">
      <c r="A191" s="281" t="s">
        <v>74</v>
      </c>
      <c r="B191" s="281" t="s">
        <v>98</v>
      </c>
      <c r="C191" s="281" t="s">
        <v>265</v>
      </c>
      <c r="D191" s="281" t="s">
        <v>23</v>
      </c>
      <c r="E191" s="281">
        <v>2</v>
      </c>
      <c r="F191" s="222" t="str">
        <f t="shared" si="28"/>
        <v>RESPONSE-22</v>
      </c>
      <c r="G191" s="222">
        <f t="shared" si="29"/>
        <v>5</v>
      </c>
      <c r="H191" s="284">
        <f t="shared" ca="1" si="30"/>
        <v>0</v>
      </c>
      <c r="I191" s="284">
        <f t="shared" ca="1" si="31"/>
        <v>0</v>
      </c>
      <c r="J191" s="287" t="s">
        <v>265</v>
      </c>
      <c r="W191" s="278" t="str">
        <f ca="1">AB191&amp;"-"&amp;COUNTIF($AB$2:$AB191,$AB191)</f>
        <v>0-2-0-67</v>
      </c>
      <c r="X191" s="278" t="s">
        <v>265</v>
      </c>
      <c r="Y191" s="289">
        <f t="shared" ca="1" si="38"/>
        <v>0</v>
      </c>
      <c r="Z191" s="271">
        <v>2</v>
      </c>
      <c r="AA191" s="277">
        <f t="shared" ca="1" si="33"/>
        <v>0</v>
      </c>
      <c r="AB191" s="279" t="str">
        <f t="shared" ca="1" si="34"/>
        <v>0-2-0</v>
      </c>
    </row>
    <row r="192" spans="1:28" x14ac:dyDescent="0.25">
      <c r="A192" s="281" t="s">
        <v>74</v>
      </c>
      <c r="B192" s="281" t="s">
        <v>98</v>
      </c>
      <c r="C192" s="281" t="s">
        <v>266</v>
      </c>
      <c r="D192" s="281" t="s">
        <v>24</v>
      </c>
      <c r="E192" s="281">
        <v>2</v>
      </c>
      <c r="F192" s="222" t="str">
        <f t="shared" si="28"/>
        <v>RESPONSE-22</v>
      </c>
      <c r="G192" s="222">
        <f t="shared" si="29"/>
        <v>5</v>
      </c>
      <c r="H192" s="284">
        <f t="shared" ca="1" si="30"/>
        <v>0</v>
      </c>
      <c r="I192" s="284">
        <f t="shared" ca="1" si="31"/>
        <v>0</v>
      </c>
      <c r="J192" s="287" t="s">
        <v>266</v>
      </c>
      <c r="W192" s="278" t="str">
        <f ca="1">AB192&amp;"-"&amp;COUNTIF($AB$2:$AB192,$AB192)</f>
        <v>0-2-0-68</v>
      </c>
      <c r="X192" s="278" t="s">
        <v>266</v>
      </c>
      <c r="Y192" s="289">
        <f t="shared" ca="1" si="38"/>
        <v>0</v>
      </c>
      <c r="Z192" s="271">
        <v>2</v>
      </c>
      <c r="AA192" s="277">
        <f t="shared" ca="1" si="33"/>
        <v>0</v>
      </c>
      <c r="AB192" s="279" t="str">
        <f t="shared" ca="1" si="34"/>
        <v>0-2-0</v>
      </c>
    </row>
    <row r="193" spans="1:28" x14ac:dyDescent="0.25">
      <c r="A193" s="281" t="s">
        <v>74</v>
      </c>
      <c r="B193" s="281" t="s">
        <v>98</v>
      </c>
      <c r="C193" s="281" t="s">
        <v>267</v>
      </c>
      <c r="D193" s="281" t="s">
        <v>112</v>
      </c>
      <c r="E193" s="281">
        <v>2</v>
      </c>
      <c r="F193" s="222" t="str">
        <f t="shared" si="28"/>
        <v>RESPONSE-22</v>
      </c>
      <c r="G193" s="222">
        <f t="shared" si="29"/>
        <v>5</v>
      </c>
      <c r="H193" s="284">
        <f t="shared" ca="1" si="30"/>
        <v>0</v>
      </c>
      <c r="I193" s="284">
        <f t="shared" ca="1" si="31"/>
        <v>0</v>
      </c>
      <c r="J193" s="287" t="s">
        <v>267</v>
      </c>
      <c r="W193" s="278" t="str">
        <f ca="1">AB193&amp;"-"&amp;COUNTIF($AB$2:$AB193,$AB193)</f>
        <v>0-2-0-69</v>
      </c>
      <c r="X193" s="278" t="s">
        <v>267</v>
      </c>
      <c r="Y193" s="289">
        <f t="shared" ca="1" si="38"/>
        <v>0</v>
      </c>
      <c r="Z193" s="271">
        <v>2</v>
      </c>
      <c r="AA193" s="277">
        <f t="shared" ca="1" si="33"/>
        <v>0</v>
      </c>
      <c r="AB193" s="279" t="str">
        <f t="shared" ca="1" si="34"/>
        <v>0-2-0</v>
      </c>
    </row>
    <row r="194" spans="1:28" x14ac:dyDescent="0.25">
      <c r="A194" s="281" t="s">
        <v>74</v>
      </c>
      <c r="B194" s="281" t="s">
        <v>98</v>
      </c>
      <c r="C194" s="281" t="s">
        <v>268</v>
      </c>
      <c r="D194" s="281" t="s">
        <v>176</v>
      </c>
      <c r="E194" s="281">
        <v>2</v>
      </c>
      <c r="F194" s="222" t="str">
        <f t="shared" si="28"/>
        <v>RESPONSE-22</v>
      </c>
      <c r="G194" s="222">
        <f t="shared" ref="G194:G257" si="39">COUNTIF($F:$F,$F194)</f>
        <v>5</v>
      </c>
      <c r="H194" s="284">
        <f t="shared" ca="1" si="30"/>
        <v>0</v>
      </c>
      <c r="I194" s="284">
        <f t="shared" ca="1" si="31"/>
        <v>0</v>
      </c>
      <c r="J194" s="287" t="s">
        <v>268</v>
      </c>
      <c r="W194" s="278" t="str">
        <f ca="1">AB194&amp;"-"&amp;COUNTIF($AB$2:$AB194,$AB194)</f>
        <v>0-2-0-70</v>
      </c>
      <c r="X194" s="278" t="s">
        <v>268</v>
      </c>
      <c r="Y194" s="289">
        <f t="shared" ca="1" si="38"/>
        <v>0</v>
      </c>
      <c r="Z194" s="271">
        <v>2</v>
      </c>
      <c r="AA194" s="277">
        <f t="shared" ref="AA194:AA257" ca="1" si="40">VLOOKUP(X194,C:I,7,FALSE)</f>
        <v>0</v>
      </c>
      <c r="AB194" s="279" t="str">
        <f t="shared" ca="1" si="34"/>
        <v>0-2-0</v>
      </c>
    </row>
    <row r="195" spans="1:28" x14ac:dyDescent="0.25">
      <c r="A195" s="281" t="s">
        <v>74</v>
      </c>
      <c r="B195" s="281" t="s">
        <v>98</v>
      </c>
      <c r="C195" s="281" t="s">
        <v>269</v>
      </c>
      <c r="D195" s="281" t="s">
        <v>178</v>
      </c>
      <c r="E195" s="281">
        <v>3</v>
      </c>
      <c r="F195" s="222" t="str">
        <f t="shared" ref="F195:F258" si="41">CONCATENATE($B195,$E195)</f>
        <v>RESPONSE-23</v>
      </c>
      <c r="G195" s="222">
        <f t="shared" si="39"/>
        <v>2</v>
      </c>
      <c r="H195" s="284">
        <f t="shared" ref="H195:H258" ca="1" si="42">INT(LEFT(
VLOOKUP($D195, INDIRECT("'"&amp;$A195&amp;"'!"&amp;"$D:$H"), 5,FALSE), 1)
)</f>
        <v>0</v>
      </c>
      <c r="I195" s="284">
        <f t="shared" ref="I195:I258" ca="1" si="43">IFERROR(IF(H195&gt;2,1,0),0)</f>
        <v>0</v>
      </c>
      <c r="J195" s="287" t="s">
        <v>269</v>
      </c>
      <c r="W195" s="278" t="str">
        <f ca="1">AB195&amp;"-"&amp;COUNTIF($AB$2:$AB195,$AB195)</f>
        <v>0-3-0-47</v>
      </c>
      <c r="X195" s="278" t="s">
        <v>269</v>
      </c>
      <c r="Y195" s="289">
        <f t="shared" ca="1" si="38"/>
        <v>0</v>
      </c>
      <c r="Z195" s="271">
        <v>3</v>
      </c>
      <c r="AA195" s="277">
        <f t="shared" ca="1" si="40"/>
        <v>0</v>
      </c>
      <c r="AB195" s="279" t="str">
        <f t="shared" ca="1" si="34"/>
        <v>0-3-0</v>
      </c>
    </row>
    <row r="196" spans="1:28" x14ac:dyDescent="0.25">
      <c r="A196" s="281" t="s">
        <v>74</v>
      </c>
      <c r="B196" s="281" t="s">
        <v>98</v>
      </c>
      <c r="C196" s="281" t="s">
        <v>270</v>
      </c>
      <c r="D196" s="281" t="s">
        <v>209</v>
      </c>
      <c r="E196" s="281">
        <v>3</v>
      </c>
      <c r="F196" s="222" t="str">
        <f t="shared" si="41"/>
        <v>RESPONSE-23</v>
      </c>
      <c r="G196" s="222">
        <f t="shared" si="39"/>
        <v>2</v>
      </c>
      <c r="H196" s="284">
        <f t="shared" ca="1" si="42"/>
        <v>0</v>
      </c>
      <c r="I196" s="284">
        <f t="shared" ca="1" si="43"/>
        <v>0</v>
      </c>
      <c r="J196" s="287" t="s">
        <v>270</v>
      </c>
      <c r="W196" s="278" t="str">
        <f ca="1">AB196&amp;"-"&amp;COUNTIF($AB$2:$AB196,$AB196)</f>
        <v>0-3-0-48</v>
      </c>
      <c r="X196" s="278" t="s">
        <v>270</v>
      </c>
      <c r="Y196" s="289">
        <f t="shared" ca="1" si="38"/>
        <v>0</v>
      </c>
      <c r="Z196" s="271">
        <v>3</v>
      </c>
      <c r="AA196" s="277">
        <f t="shared" ca="1" si="40"/>
        <v>0</v>
      </c>
      <c r="AB196" s="279" t="str">
        <f t="shared" ref="AB196:AB259" ca="1" si="44">Y196&amp;"-"&amp;Z196&amp;"-"&amp;AA196</f>
        <v>0-3-0</v>
      </c>
    </row>
    <row r="197" spans="1:28" x14ac:dyDescent="0.25">
      <c r="A197" s="281" t="s">
        <v>74</v>
      </c>
      <c r="B197" s="281" t="s">
        <v>100</v>
      </c>
      <c r="C197" s="281" t="s">
        <v>271</v>
      </c>
      <c r="D197" s="281" t="s">
        <v>25</v>
      </c>
      <c r="E197" s="281">
        <v>1</v>
      </c>
      <c r="F197" s="222" t="str">
        <f t="shared" si="41"/>
        <v>RESPONSE-31</v>
      </c>
      <c r="G197" s="222">
        <f t="shared" si="39"/>
        <v>3</v>
      </c>
      <c r="H197" s="284">
        <f t="shared" ca="1" si="42"/>
        <v>0</v>
      </c>
      <c r="I197" s="284">
        <f t="shared" ca="1" si="43"/>
        <v>0</v>
      </c>
      <c r="J197" s="287" t="s">
        <v>271</v>
      </c>
      <c r="W197" s="278" t="str">
        <f ca="1">AB197&amp;"-"&amp;COUNTIF($AB$2:$AB197,$AB197)</f>
        <v>0-1-0-39</v>
      </c>
      <c r="X197" s="278" t="s">
        <v>271</v>
      </c>
      <c r="Y197" s="289">
        <f t="shared" ca="1" si="38"/>
        <v>0</v>
      </c>
      <c r="Z197" s="271">
        <v>1</v>
      </c>
      <c r="AA197" s="277">
        <f t="shared" ca="1" si="40"/>
        <v>0</v>
      </c>
      <c r="AB197" s="279" t="str">
        <f t="shared" ca="1" si="44"/>
        <v>0-1-0</v>
      </c>
    </row>
    <row r="198" spans="1:28" x14ac:dyDescent="0.25">
      <c r="A198" s="281" t="s">
        <v>74</v>
      </c>
      <c r="B198" s="281" t="s">
        <v>100</v>
      </c>
      <c r="C198" s="281" t="s">
        <v>272</v>
      </c>
      <c r="D198" s="281" t="s">
        <v>26</v>
      </c>
      <c r="E198" s="281">
        <v>1</v>
      </c>
      <c r="F198" s="222" t="str">
        <f t="shared" si="41"/>
        <v>RESPONSE-31</v>
      </c>
      <c r="G198" s="222">
        <f t="shared" si="39"/>
        <v>3</v>
      </c>
      <c r="H198" s="284">
        <f t="shared" ca="1" si="42"/>
        <v>0</v>
      </c>
      <c r="I198" s="284">
        <f t="shared" ca="1" si="43"/>
        <v>0</v>
      </c>
      <c r="J198" s="287" t="s">
        <v>272</v>
      </c>
      <c r="W198" s="278" t="str">
        <f ca="1">AB198&amp;"-"&amp;COUNTIF($AB$2:$AB198,$AB198)</f>
        <v>0-1-0-40</v>
      </c>
      <c r="X198" s="278" t="s">
        <v>272</v>
      </c>
      <c r="Y198" s="289">
        <f t="shared" ca="1" si="38"/>
        <v>0</v>
      </c>
      <c r="Z198" s="271">
        <v>1</v>
      </c>
      <c r="AA198" s="277">
        <f t="shared" ca="1" si="40"/>
        <v>0</v>
      </c>
      <c r="AB198" s="279" t="str">
        <f t="shared" ca="1" si="44"/>
        <v>0-1-0</v>
      </c>
    </row>
    <row r="199" spans="1:28" x14ac:dyDescent="0.25">
      <c r="A199" s="281" t="s">
        <v>74</v>
      </c>
      <c r="B199" s="281" t="s">
        <v>100</v>
      </c>
      <c r="C199" s="281" t="s">
        <v>273</v>
      </c>
      <c r="D199" s="281" t="s">
        <v>27</v>
      </c>
      <c r="E199" s="281">
        <v>1</v>
      </c>
      <c r="F199" s="222" t="str">
        <f t="shared" si="41"/>
        <v>RESPONSE-31</v>
      </c>
      <c r="G199" s="222">
        <f t="shared" si="39"/>
        <v>3</v>
      </c>
      <c r="H199" s="284">
        <f t="shared" ca="1" si="42"/>
        <v>0</v>
      </c>
      <c r="I199" s="284">
        <f t="shared" ca="1" si="43"/>
        <v>0</v>
      </c>
      <c r="J199" s="287" t="s">
        <v>273</v>
      </c>
      <c r="W199" s="278" t="str">
        <f ca="1">AB199&amp;"-"&amp;COUNTIF($AB$2:$AB199,$AB199)</f>
        <v>0-1-0-41</v>
      </c>
      <c r="X199" s="278" t="s">
        <v>273</v>
      </c>
      <c r="Y199" s="289">
        <f t="shared" ca="1" si="38"/>
        <v>0</v>
      </c>
      <c r="Z199" s="271">
        <v>1</v>
      </c>
      <c r="AA199" s="277">
        <f t="shared" ca="1" si="40"/>
        <v>0</v>
      </c>
      <c r="AB199" s="279" t="str">
        <f t="shared" ca="1" si="44"/>
        <v>0-1-0</v>
      </c>
    </row>
    <row r="200" spans="1:28" x14ac:dyDescent="0.25">
      <c r="A200" s="281" t="s">
        <v>74</v>
      </c>
      <c r="B200" s="281" t="s">
        <v>100</v>
      </c>
      <c r="C200" s="281" t="s">
        <v>274</v>
      </c>
      <c r="D200" s="281" t="s">
        <v>28</v>
      </c>
      <c r="E200" s="281">
        <v>2</v>
      </c>
      <c r="F200" s="222" t="str">
        <f t="shared" si="41"/>
        <v>RESPONSE-32</v>
      </c>
      <c r="G200" s="222">
        <f t="shared" si="39"/>
        <v>3</v>
      </c>
      <c r="H200" s="284">
        <f t="shared" ca="1" si="42"/>
        <v>0</v>
      </c>
      <c r="I200" s="284">
        <f t="shared" ca="1" si="43"/>
        <v>0</v>
      </c>
      <c r="J200" s="287" t="s">
        <v>274</v>
      </c>
      <c r="W200" s="278" t="str">
        <f ca="1">AB200&amp;"-"&amp;COUNTIF($AB$2:$AB200,$AB200)</f>
        <v>0-2-0-71</v>
      </c>
      <c r="X200" s="278" t="s">
        <v>274</v>
      </c>
      <c r="Y200" s="289">
        <f t="shared" ca="1" si="38"/>
        <v>0</v>
      </c>
      <c r="Z200" s="271">
        <v>2</v>
      </c>
      <c r="AA200" s="277">
        <f t="shared" ca="1" si="40"/>
        <v>0</v>
      </c>
      <c r="AB200" s="279" t="str">
        <f t="shared" ca="1" si="44"/>
        <v>0-2-0</v>
      </c>
    </row>
    <row r="201" spans="1:28" x14ac:dyDescent="0.25">
      <c r="A201" s="281" t="s">
        <v>74</v>
      </c>
      <c r="B201" s="281" t="s">
        <v>100</v>
      </c>
      <c r="C201" s="281" t="s">
        <v>275</v>
      </c>
      <c r="D201" s="281" t="s">
        <v>29</v>
      </c>
      <c r="E201" s="281">
        <v>2</v>
      </c>
      <c r="F201" s="222" t="str">
        <f t="shared" si="41"/>
        <v>RESPONSE-32</v>
      </c>
      <c r="G201" s="222">
        <f t="shared" si="39"/>
        <v>3</v>
      </c>
      <c r="H201" s="284">
        <f t="shared" ca="1" si="42"/>
        <v>0</v>
      </c>
      <c r="I201" s="284">
        <f t="shared" ca="1" si="43"/>
        <v>0</v>
      </c>
      <c r="J201" s="287" t="s">
        <v>275</v>
      </c>
      <c r="W201" s="278" t="str">
        <f ca="1">AB201&amp;"-"&amp;COUNTIF($AB$2:$AB201,$AB201)</f>
        <v>0-2-0-72</v>
      </c>
      <c r="X201" s="278" t="s">
        <v>275</v>
      </c>
      <c r="Y201" s="289">
        <f t="shared" ca="1" si="38"/>
        <v>0</v>
      </c>
      <c r="Z201" s="271">
        <v>2</v>
      </c>
      <c r="AA201" s="277">
        <f t="shared" ca="1" si="40"/>
        <v>0</v>
      </c>
      <c r="AB201" s="279" t="str">
        <f t="shared" ca="1" si="44"/>
        <v>0-2-0</v>
      </c>
    </row>
    <row r="202" spans="1:28" x14ac:dyDescent="0.25">
      <c r="A202" s="281" t="s">
        <v>74</v>
      </c>
      <c r="B202" s="281" t="s">
        <v>100</v>
      </c>
      <c r="C202" s="281" t="s">
        <v>276</v>
      </c>
      <c r="D202" s="281" t="s">
        <v>30</v>
      </c>
      <c r="E202" s="281">
        <v>2</v>
      </c>
      <c r="F202" s="222" t="str">
        <f t="shared" si="41"/>
        <v>RESPONSE-32</v>
      </c>
      <c r="G202" s="222">
        <f t="shared" si="39"/>
        <v>3</v>
      </c>
      <c r="H202" s="284">
        <f t="shared" ca="1" si="42"/>
        <v>0</v>
      </c>
      <c r="I202" s="284">
        <f t="shared" ca="1" si="43"/>
        <v>0</v>
      </c>
      <c r="J202" s="287" t="s">
        <v>276</v>
      </c>
      <c r="W202" s="278" t="str">
        <f ca="1">AB202&amp;"-"&amp;COUNTIF($AB$2:$AB202,$AB202)</f>
        <v>0-2-0-73</v>
      </c>
      <c r="X202" s="278" t="s">
        <v>276</v>
      </c>
      <c r="Y202" s="289">
        <f t="shared" ca="1" si="38"/>
        <v>0</v>
      </c>
      <c r="Z202" s="271">
        <v>2</v>
      </c>
      <c r="AA202" s="277">
        <f t="shared" ca="1" si="40"/>
        <v>0</v>
      </c>
      <c r="AB202" s="279" t="str">
        <f t="shared" ca="1" si="44"/>
        <v>0-2-0</v>
      </c>
    </row>
    <row r="203" spans="1:28" x14ac:dyDescent="0.25">
      <c r="A203" s="281" t="s">
        <v>74</v>
      </c>
      <c r="B203" s="281" t="s">
        <v>100</v>
      </c>
      <c r="C203" s="281" t="s">
        <v>277</v>
      </c>
      <c r="D203" s="281" t="s">
        <v>31</v>
      </c>
      <c r="E203" s="281">
        <v>3</v>
      </c>
      <c r="F203" s="222" t="str">
        <f t="shared" si="41"/>
        <v>RESPONSE-33</v>
      </c>
      <c r="G203" s="222">
        <f t="shared" si="39"/>
        <v>4</v>
      </c>
      <c r="H203" s="284">
        <f t="shared" ca="1" si="42"/>
        <v>0</v>
      </c>
      <c r="I203" s="284">
        <f t="shared" ca="1" si="43"/>
        <v>0</v>
      </c>
      <c r="J203" s="287" t="s">
        <v>277</v>
      </c>
      <c r="W203" s="278" t="str">
        <f ca="1">AB203&amp;"-"&amp;COUNTIF($AB$2:$AB203,$AB203)</f>
        <v>0-3-0-49</v>
      </c>
      <c r="X203" s="278" t="s">
        <v>277</v>
      </c>
      <c r="Y203" s="289">
        <f t="shared" ca="1" si="38"/>
        <v>0</v>
      </c>
      <c r="Z203" s="271">
        <v>3</v>
      </c>
      <c r="AA203" s="277">
        <f t="shared" ca="1" si="40"/>
        <v>0</v>
      </c>
      <c r="AB203" s="279" t="str">
        <f t="shared" ca="1" si="44"/>
        <v>0-3-0</v>
      </c>
    </row>
    <row r="204" spans="1:28" x14ac:dyDescent="0.25">
      <c r="A204" s="281" t="s">
        <v>74</v>
      </c>
      <c r="B204" s="281" t="s">
        <v>100</v>
      </c>
      <c r="C204" s="281" t="s">
        <v>278</v>
      </c>
      <c r="D204" s="281" t="s">
        <v>247</v>
      </c>
      <c r="E204" s="281">
        <v>3</v>
      </c>
      <c r="F204" s="222" t="str">
        <f t="shared" si="41"/>
        <v>RESPONSE-33</v>
      </c>
      <c r="G204" s="222">
        <f t="shared" si="39"/>
        <v>4</v>
      </c>
      <c r="H204" s="284">
        <f t="shared" ca="1" si="42"/>
        <v>0</v>
      </c>
      <c r="I204" s="284">
        <f t="shared" ca="1" si="43"/>
        <v>0</v>
      </c>
      <c r="J204" s="287" t="s">
        <v>278</v>
      </c>
      <c r="W204" s="278" t="str">
        <f ca="1">AB204&amp;"-"&amp;COUNTIF($AB$2:$AB204,$AB204)</f>
        <v>0-3-0-50</v>
      </c>
      <c r="X204" s="278" t="s">
        <v>278</v>
      </c>
      <c r="Y204" s="289">
        <f t="shared" ca="1" si="38"/>
        <v>0</v>
      </c>
      <c r="Z204" s="271">
        <v>3</v>
      </c>
      <c r="AA204" s="277">
        <f t="shared" ca="1" si="40"/>
        <v>0</v>
      </c>
      <c r="AB204" s="279" t="str">
        <f t="shared" ca="1" si="44"/>
        <v>0-3-0</v>
      </c>
    </row>
    <row r="205" spans="1:28" x14ac:dyDescent="0.25">
      <c r="A205" s="281" t="s">
        <v>74</v>
      </c>
      <c r="B205" s="281" t="s">
        <v>100</v>
      </c>
      <c r="C205" s="281" t="s">
        <v>279</v>
      </c>
      <c r="D205" s="281" t="s">
        <v>280</v>
      </c>
      <c r="E205" s="281">
        <v>3</v>
      </c>
      <c r="F205" s="222" t="str">
        <f t="shared" si="41"/>
        <v>RESPONSE-33</v>
      </c>
      <c r="G205" s="222">
        <f t="shared" si="39"/>
        <v>4</v>
      </c>
      <c r="H205" s="284">
        <f t="shared" ca="1" si="42"/>
        <v>0</v>
      </c>
      <c r="I205" s="284">
        <f t="shared" ca="1" si="43"/>
        <v>0</v>
      </c>
      <c r="J205" s="287" t="s">
        <v>279</v>
      </c>
      <c r="W205" s="278" t="str">
        <f ca="1">AB205&amp;"-"&amp;COUNTIF($AB$2:$AB205,$AB205)</f>
        <v>0-3-0-51</v>
      </c>
      <c r="X205" s="278" t="s">
        <v>279</v>
      </c>
      <c r="Y205" s="289">
        <f t="shared" ca="1" si="38"/>
        <v>0</v>
      </c>
      <c r="Z205" s="271">
        <v>3</v>
      </c>
      <c r="AA205" s="277">
        <f t="shared" ca="1" si="40"/>
        <v>0</v>
      </c>
      <c r="AB205" s="279" t="str">
        <f t="shared" ca="1" si="44"/>
        <v>0-3-0</v>
      </c>
    </row>
    <row r="206" spans="1:28" x14ac:dyDescent="0.25">
      <c r="A206" s="281" t="s">
        <v>74</v>
      </c>
      <c r="B206" s="281" t="s">
        <v>100</v>
      </c>
      <c r="C206" s="281" t="s">
        <v>281</v>
      </c>
      <c r="D206" s="281" t="s">
        <v>282</v>
      </c>
      <c r="E206" s="281">
        <v>3</v>
      </c>
      <c r="F206" s="222" t="str">
        <f t="shared" si="41"/>
        <v>RESPONSE-33</v>
      </c>
      <c r="G206" s="222">
        <f t="shared" si="39"/>
        <v>4</v>
      </c>
      <c r="H206" s="284">
        <f t="shared" ca="1" si="42"/>
        <v>0</v>
      </c>
      <c r="I206" s="284">
        <f t="shared" ca="1" si="43"/>
        <v>0</v>
      </c>
      <c r="J206" s="287" t="s">
        <v>281</v>
      </c>
      <c r="W206" s="278" t="str">
        <f ca="1">AB206&amp;"-"&amp;COUNTIF($AB$2:$AB206,$AB206)</f>
        <v>0-3-0-52</v>
      </c>
      <c r="X206" s="278" t="s">
        <v>281</v>
      </c>
      <c r="Y206" s="289">
        <f t="shared" ca="1" si="38"/>
        <v>0</v>
      </c>
      <c r="Z206" s="271">
        <v>3</v>
      </c>
      <c r="AA206" s="277">
        <f t="shared" ca="1" si="40"/>
        <v>0</v>
      </c>
      <c r="AB206" s="279" t="str">
        <f t="shared" ca="1" si="44"/>
        <v>0-3-0</v>
      </c>
    </row>
    <row r="207" spans="1:28" x14ac:dyDescent="0.25">
      <c r="A207" s="281" t="s">
        <v>74</v>
      </c>
      <c r="B207" s="281" t="s">
        <v>102</v>
      </c>
      <c r="C207" s="281" t="s">
        <v>283</v>
      </c>
      <c r="D207" s="281" t="s">
        <v>126</v>
      </c>
      <c r="E207" s="281">
        <v>2</v>
      </c>
      <c r="F207" s="222" t="str">
        <f t="shared" si="41"/>
        <v>RESPONSE-42</v>
      </c>
      <c r="G207" s="222">
        <f t="shared" si="39"/>
        <v>4</v>
      </c>
      <c r="H207" s="284">
        <f t="shared" ca="1" si="42"/>
        <v>0</v>
      </c>
      <c r="I207" s="284">
        <f t="shared" ca="1" si="43"/>
        <v>0</v>
      </c>
      <c r="J207" s="287" t="s">
        <v>283</v>
      </c>
      <c r="W207" s="278" t="str">
        <f ca="1">AB207&amp;"-"&amp;COUNTIF($AB$2:$AB207,$AB207)</f>
        <v>1-2-0-23</v>
      </c>
      <c r="X207" s="278" t="s">
        <v>283</v>
      </c>
      <c r="Y207" s="289">
        <f t="shared" ca="1" si="38"/>
        <v>1</v>
      </c>
      <c r="Z207" s="271">
        <v>2</v>
      </c>
      <c r="AA207" s="277">
        <f t="shared" ca="1" si="40"/>
        <v>0</v>
      </c>
      <c r="AB207" s="279" t="str">
        <f t="shared" ca="1" si="44"/>
        <v>1-2-0</v>
      </c>
    </row>
    <row r="208" spans="1:28" x14ac:dyDescent="0.25">
      <c r="A208" s="281" t="s">
        <v>74</v>
      </c>
      <c r="B208" s="281" t="s">
        <v>102</v>
      </c>
      <c r="C208" s="281" t="s">
        <v>284</v>
      </c>
      <c r="D208" s="281" t="s">
        <v>129</v>
      </c>
      <c r="E208" s="281">
        <v>2</v>
      </c>
      <c r="F208" s="222" t="str">
        <f t="shared" si="41"/>
        <v>RESPONSE-42</v>
      </c>
      <c r="G208" s="222">
        <f t="shared" si="39"/>
        <v>4</v>
      </c>
      <c r="H208" s="284">
        <f t="shared" ca="1" si="42"/>
        <v>0</v>
      </c>
      <c r="I208" s="284">
        <f t="shared" ca="1" si="43"/>
        <v>0</v>
      </c>
      <c r="J208" s="287" t="s">
        <v>284</v>
      </c>
      <c r="W208" s="278" t="str">
        <f ca="1">AB208&amp;"-"&amp;COUNTIF($AB$2:$AB208,$AB208)</f>
        <v>1-2-0-24</v>
      </c>
      <c r="X208" s="278" t="s">
        <v>284</v>
      </c>
      <c r="Y208" s="289">
        <f t="shared" ca="1" si="38"/>
        <v>1</v>
      </c>
      <c r="Z208" s="271">
        <v>2</v>
      </c>
      <c r="AA208" s="277">
        <f t="shared" ca="1" si="40"/>
        <v>0</v>
      </c>
      <c r="AB208" s="279" t="str">
        <f t="shared" ca="1" si="44"/>
        <v>1-2-0</v>
      </c>
    </row>
    <row r="209" spans="1:28" x14ac:dyDescent="0.25">
      <c r="A209" s="281" t="s">
        <v>74</v>
      </c>
      <c r="B209" s="281" t="s">
        <v>102</v>
      </c>
      <c r="C209" s="281" t="s">
        <v>285</v>
      </c>
      <c r="D209" s="281" t="s">
        <v>132</v>
      </c>
      <c r="E209" s="281">
        <v>2</v>
      </c>
      <c r="F209" s="222" t="str">
        <f t="shared" si="41"/>
        <v>RESPONSE-42</v>
      </c>
      <c r="G209" s="222">
        <f t="shared" si="39"/>
        <v>4</v>
      </c>
      <c r="H209" s="284">
        <f t="shared" ca="1" si="42"/>
        <v>0</v>
      </c>
      <c r="I209" s="284">
        <f t="shared" ca="1" si="43"/>
        <v>0</v>
      </c>
      <c r="J209" s="287" t="s">
        <v>285</v>
      </c>
      <c r="W209" s="278" t="str">
        <f ca="1">AB209&amp;"-"&amp;COUNTIF($AB$2:$AB209,$AB209)</f>
        <v>1-2-0-25</v>
      </c>
      <c r="X209" s="278" t="s">
        <v>285</v>
      </c>
      <c r="Y209" s="289">
        <f t="shared" ca="1" si="38"/>
        <v>1</v>
      </c>
      <c r="Z209" s="271">
        <v>2</v>
      </c>
      <c r="AA209" s="277">
        <f t="shared" ca="1" si="40"/>
        <v>0</v>
      </c>
      <c r="AB209" s="279" t="str">
        <f t="shared" ca="1" si="44"/>
        <v>1-2-0</v>
      </c>
    </row>
    <row r="210" spans="1:28" x14ac:dyDescent="0.25">
      <c r="A210" s="281" t="s">
        <v>74</v>
      </c>
      <c r="B210" s="281" t="s">
        <v>102</v>
      </c>
      <c r="C210" s="281" t="s">
        <v>286</v>
      </c>
      <c r="D210" s="281" t="s">
        <v>135</v>
      </c>
      <c r="E210" s="281">
        <v>2</v>
      </c>
      <c r="F210" s="222" t="str">
        <f t="shared" si="41"/>
        <v>RESPONSE-42</v>
      </c>
      <c r="G210" s="222">
        <f t="shared" si="39"/>
        <v>4</v>
      </c>
      <c r="H210" s="284">
        <f t="shared" ca="1" si="42"/>
        <v>0</v>
      </c>
      <c r="I210" s="284">
        <f t="shared" ca="1" si="43"/>
        <v>0</v>
      </c>
      <c r="J210" s="287" t="s">
        <v>286</v>
      </c>
      <c r="W210" s="278" t="str">
        <f ca="1">AB210&amp;"-"&amp;COUNTIF($AB$2:$AB210,$AB210)</f>
        <v>1-2-0-26</v>
      </c>
      <c r="X210" s="278" t="s">
        <v>286</v>
      </c>
      <c r="Y210" s="289">
        <f t="shared" ca="1" si="38"/>
        <v>1</v>
      </c>
      <c r="Z210" s="271">
        <v>2</v>
      </c>
      <c r="AA210" s="277">
        <f t="shared" ca="1" si="40"/>
        <v>0</v>
      </c>
      <c r="AB210" s="279" t="str">
        <f t="shared" ca="1" si="44"/>
        <v>1-2-0</v>
      </c>
    </row>
    <row r="211" spans="1:28" x14ac:dyDescent="0.25">
      <c r="A211" s="281" t="s">
        <v>74</v>
      </c>
      <c r="B211" s="281" t="s">
        <v>102</v>
      </c>
      <c r="C211" s="281" t="s">
        <v>287</v>
      </c>
      <c r="D211" s="281" t="s">
        <v>138</v>
      </c>
      <c r="E211" s="281">
        <v>3</v>
      </c>
      <c r="F211" s="222" t="str">
        <f t="shared" si="41"/>
        <v>RESPONSE-43</v>
      </c>
      <c r="G211" s="222">
        <f t="shared" si="39"/>
        <v>3</v>
      </c>
      <c r="H211" s="284">
        <f t="shared" ca="1" si="42"/>
        <v>0</v>
      </c>
      <c r="I211" s="284">
        <f t="shared" ca="1" si="43"/>
        <v>0</v>
      </c>
      <c r="J211" s="287" t="s">
        <v>287</v>
      </c>
      <c r="W211" s="278" t="str">
        <f ca="1">AB211&amp;"-"&amp;COUNTIF($AB$2:$AB211,$AB211)</f>
        <v>1-3-0-18</v>
      </c>
      <c r="X211" s="278" t="s">
        <v>287</v>
      </c>
      <c r="Y211" s="289">
        <f t="shared" ca="1" si="38"/>
        <v>1</v>
      </c>
      <c r="Z211" s="271">
        <v>3</v>
      </c>
      <c r="AA211" s="277">
        <f t="shared" ca="1" si="40"/>
        <v>0</v>
      </c>
      <c r="AB211" s="279" t="str">
        <f t="shared" ca="1" si="44"/>
        <v>1-3-0</v>
      </c>
    </row>
    <row r="212" spans="1:28" x14ac:dyDescent="0.25">
      <c r="A212" s="281" t="s">
        <v>74</v>
      </c>
      <c r="B212" s="281" t="s">
        <v>102</v>
      </c>
      <c r="C212" s="281" t="s">
        <v>288</v>
      </c>
      <c r="D212" s="281" t="s">
        <v>140</v>
      </c>
      <c r="E212" s="281">
        <v>3</v>
      </c>
      <c r="F212" s="222" t="str">
        <f t="shared" si="41"/>
        <v>RESPONSE-43</v>
      </c>
      <c r="G212" s="222">
        <f t="shared" si="39"/>
        <v>3</v>
      </c>
      <c r="H212" s="284">
        <f t="shared" ca="1" si="42"/>
        <v>0</v>
      </c>
      <c r="I212" s="284">
        <f t="shared" ca="1" si="43"/>
        <v>0</v>
      </c>
      <c r="J212" s="287" t="s">
        <v>288</v>
      </c>
      <c r="W212" s="278" t="str">
        <f ca="1">AB212&amp;"-"&amp;COUNTIF($AB$2:$AB212,$AB212)</f>
        <v>1-3-0-19</v>
      </c>
      <c r="X212" s="278" t="s">
        <v>288</v>
      </c>
      <c r="Y212" s="289">
        <f t="shared" ca="1" si="38"/>
        <v>1</v>
      </c>
      <c r="Z212" s="271">
        <v>3</v>
      </c>
      <c r="AA212" s="277">
        <f t="shared" ca="1" si="40"/>
        <v>0</v>
      </c>
      <c r="AB212" s="279" t="str">
        <f t="shared" ca="1" si="44"/>
        <v>1-3-0</v>
      </c>
    </row>
    <row r="213" spans="1:28" x14ac:dyDescent="0.25">
      <c r="A213" s="281" t="s">
        <v>74</v>
      </c>
      <c r="B213" s="281" t="s">
        <v>102</v>
      </c>
      <c r="C213" s="281" t="s">
        <v>289</v>
      </c>
      <c r="D213" s="281" t="s">
        <v>255</v>
      </c>
      <c r="E213" s="281">
        <v>3</v>
      </c>
      <c r="F213" s="222" t="str">
        <f t="shared" si="41"/>
        <v>RESPONSE-43</v>
      </c>
      <c r="G213" s="222">
        <f t="shared" si="39"/>
        <v>3</v>
      </c>
      <c r="H213" s="284">
        <f t="shared" ca="1" si="42"/>
        <v>0</v>
      </c>
      <c r="I213" s="284">
        <f t="shared" ca="1" si="43"/>
        <v>0</v>
      </c>
      <c r="J213" s="287" t="s">
        <v>289</v>
      </c>
      <c r="W213" s="278" t="str">
        <f ca="1">AB213&amp;"-"&amp;COUNTIF($AB$2:$AB213,$AB213)</f>
        <v>1-3-0-20</v>
      </c>
      <c r="X213" s="278" t="s">
        <v>289</v>
      </c>
      <c r="Y213" s="289">
        <f t="shared" ca="1" si="38"/>
        <v>1</v>
      </c>
      <c r="Z213" s="271">
        <v>3</v>
      </c>
      <c r="AA213" s="277">
        <f t="shared" ca="1" si="40"/>
        <v>0</v>
      </c>
      <c r="AB213" s="279" t="str">
        <f t="shared" ca="1" si="44"/>
        <v>1-3-0</v>
      </c>
    </row>
    <row r="214" spans="1:28" x14ac:dyDescent="0.25">
      <c r="A214" s="282" t="s">
        <v>0</v>
      </c>
      <c r="B214" s="282" t="s">
        <v>43</v>
      </c>
      <c r="C214" s="282" t="s">
        <v>44</v>
      </c>
      <c r="D214" s="282" t="s">
        <v>7</v>
      </c>
      <c r="E214" s="282">
        <v>1</v>
      </c>
      <c r="F214" s="222" t="str">
        <f t="shared" si="41"/>
        <v>RISK-11</v>
      </c>
      <c r="G214" s="222">
        <f t="shared" si="39"/>
        <v>2</v>
      </c>
      <c r="H214" s="284">
        <f t="shared" ca="1" si="42"/>
        <v>0</v>
      </c>
      <c r="I214" s="284">
        <f t="shared" ca="1" si="43"/>
        <v>0</v>
      </c>
      <c r="J214" s="287" t="s">
        <v>44</v>
      </c>
      <c r="W214" s="278" t="str">
        <f ca="1">AB214&amp;"-"&amp;COUNTIF($AB$2:$AB214,$AB214)</f>
        <v>0-1-0-42</v>
      </c>
      <c r="X214" s="278" t="s">
        <v>44</v>
      </c>
      <c r="Y214" s="289">
        <f t="shared" ref="Y214:Y245" ca="1" si="45">VLOOKUP(LEFT($X214,LEN($X214)-1),$K:$O,5,FALSE)</f>
        <v>0</v>
      </c>
      <c r="Z214" s="271">
        <v>1</v>
      </c>
      <c r="AA214" s="277">
        <f t="shared" ca="1" si="40"/>
        <v>0</v>
      </c>
      <c r="AB214" s="279" t="str">
        <f t="shared" ca="1" si="44"/>
        <v>0-1-0</v>
      </c>
    </row>
    <row r="215" spans="1:28" x14ac:dyDescent="0.25">
      <c r="A215" s="283" t="s">
        <v>0</v>
      </c>
      <c r="B215" s="283" t="s">
        <v>43</v>
      </c>
      <c r="C215" s="283" t="s">
        <v>45</v>
      </c>
      <c r="D215" s="283" t="s">
        <v>9</v>
      </c>
      <c r="E215" s="283">
        <v>1</v>
      </c>
      <c r="F215" s="222" t="str">
        <f t="shared" si="41"/>
        <v>RISK-11</v>
      </c>
      <c r="G215" s="222">
        <f t="shared" si="39"/>
        <v>2</v>
      </c>
      <c r="H215" s="284">
        <f t="shared" ca="1" si="42"/>
        <v>0</v>
      </c>
      <c r="I215" s="284">
        <f t="shared" ca="1" si="43"/>
        <v>0</v>
      </c>
      <c r="J215" s="287" t="s">
        <v>45</v>
      </c>
      <c r="W215" s="278" t="str">
        <f ca="1">AB215&amp;"-"&amp;COUNTIF($AB$2:$AB215,$AB215)</f>
        <v>0-1-0-43</v>
      </c>
      <c r="X215" s="278" t="s">
        <v>45</v>
      </c>
      <c r="Y215" s="289">
        <f t="shared" ca="1" si="45"/>
        <v>0</v>
      </c>
      <c r="Z215" s="271">
        <v>1</v>
      </c>
      <c r="AA215" s="277">
        <f t="shared" ca="1" si="40"/>
        <v>0</v>
      </c>
      <c r="AB215" s="279" t="str">
        <f t="shared" ca="1" si="44"/>
        <v>0-1-0</v>
      </c>
    </row>
    <row r="216" spans="1:28" x14ac:dyDescent="0.25">
      <c r="A216" s="283" t="s">
        <v>0</v>
      </c>
      <c r="B216" s="283" t="s">
        <v>43</v>
      </c>
      <c r="C216" s="283" t="s">
        <v>46</v>
      </c>
      <c r="D216" s="283" t="s">
        <v>10</v>
      </c>
      <c r="E216" s="283">
        <v>2</v>
      </c>
      <c r="F216" s="222" t="str">
        <f t="shared" si="41"/>
        <v>RISK-12</v>
      </c>
      <c r="G216" s="222">
        <f t="shared" si="39"/>
        <v>4</v>
      </c>
      <c r="H216" s="284">
        <f t="shared" ca="1" si="42"/>
        <v>0</v>
      </c>
      <c r="I216" s="284">
        <f t="shared" ca="1" si="43"/>
        <v>0</v>
      </c>
      <c r="J216" s="287" t="s">
        <v>46</v>
      </c>
      <c r="W216" s="278" t="str">
        <f ca="1">AB216&amp;"-"&amp;COUNTIF($AB$2:$AB216,$AB216)</f>
        <v>0-2-0-74</v>
      </c>
      <c r="X216" s="278" t="s">
        <v>46</v>
      </c>
      <c r="Y216" s="289">
        <f t="shared" ca="1" si="45"/>
        <v>0</v>
      </c>
      <c r="Z216" s="271">
        <v>2</v>
      </c>
      <c r="AA216" s="277">
        <f t="shared" ca="1" si="40"/>
        <v>0</v>
      </c>
      <c r="AB216" s="279" t="str">
        <f t="shared" ca="1" si="44"/>
        <v>0-2-0</v>
      </c>
    </row>
    <row r="217" spans="1:28" x14ac:dyDescent="0.25">
      <c r="A217" s="283" t="s">
        <v>0</v>
      </c>
      <c r="B217" s="283" t="s">
        <v>43</v>
      </c>
      <c r="C217" s="283" t="s">
        <v>48</v>
      </c>
      <c r="D217" s="283" t="s">
        <v>11</v>
      </c>
      <c r="E217" s="283">
        <v>2</v>
      </c>
      <c r="F217" s="222" t="str">
        <f t="shared" si="41"/>
        <v>RISK-12</v>
      </c>
      <c r="G217" s="222">
        <f t="shared" si="39"/>
        <v>4</v>
      </c>
      <c r="H217" s="284">
        <f t="shared" ca="1" si="42"/>
        <v>0</v>
      </c>
      <c r="I217" s="284">
        <f t="shared" ca="1" si="43"/>
        <v>0</v>
      </c>
      <c r="J217" s="287" t="s">
        <v>48</v>
      </c>
      <c r="W217" s="278" t="str">
        <f ca="1">AB217&amp;"-"&amp;COUNTIF($AB$2:$AB217,$AB217)</f>
        <v>0-2-0-75</v>
      </c>
      <c r="X217" s="278" t="s">
        <v>48</v>
      </c>
      <c r="Y217" s="289">
        <f t="shared" ca="1" si="45"/>
        <v>0</v>
      </c>
      <c r="Z217" s="271">
        <v>2</v>
      </c>
      <c r="AA217" s="277">
        <f t="shared" ca="1" si="40"/>
        <v>0</v>
      </c>
      <c r="AB217" s="279" t="str">
        <f t="shared" ca="1" si="44"/>
        <v>0-2-0</v>
      </c>
    </row>
    <row r="218" spans="1:28" x14ac:dyDescent="0.25">
      <c r="A218" s="283" t="s">
        <v>0</v>
      </c>
      <c r="B218" s="283" t="s">
        <v>43</v>
      </c>
      <c r="C218" s="283" t="s">
        <v>50</v>
      </c>
      <c r="D218" s="283" t="s">
        <v>12</v>
      </c>
      <c r="E218" s="283">
        <v>2</v>
      </c>
      <c r="F218" s="222" t="str">
        <f t="shared" si="41"/>
        <v>RISK-12</v>
      </c>
      <c r="G218" s="222">
        <f t="shared" si="39"/>
        <v>4</v>
      </c>
      <c r="H218" s="284">
        <f t="shared" ca="1" si="42"/>
        <v>0</v>
      </c>
      <c r="I218" s="284">
        <f t="shared" ca="1" si="43"/>
        <v>0</v>
      </c>
      <c r="J218" s="287" t="s">
        <v>50</v>
      </c>
      <c r="W218" s="278" t="str">
        <f ca="1">AB218&amp;"-"&amp;COUNTIF($AB$2:$AB218,$AB218)</f>
        <v>0-2-0-76</v>
      </c>
      <c r="X218" s="278" t="s">
        <v>50</v>
      </c>
      <c r="Y218" s="289">
        <f t="shared" ca="1" si="45"/>
        <v>0</v>
      </c>
      <c r="Z218" s="271">
        <v>2</v>
      </c>
      <c r="AA218" s="277">
        <f t="shared" ca="1" si="40"/>
        <v>0</v>
      </c>
      <c r="AB218" s="279" t="str">
        <f t="shared" ca="1" si="44"/>
        <v>0-2-0</v>
      </c>
    </row>
    <row r="219" spans="1:28" x14ac:dyDescent="0.25">
      <c r="A219" s="281" t="s">
        <v>0</v>
      </c>
      <c r="B219" s="281" t="s">
        <v>43</v>
      </c>
      <c r="C219" s="281" t="s">
        <v>52</v>
      </c>
      <c r="D219" s="281" t="s">
        <v>13</v>
      </c>
      <c r="E219" s="281">
        <v>2</v>
      </c>
      <c r="F219" s="222" t="str">
        <f t="shared" si="41"/>
        <v>RISK-12</v>
      </c>
      <c r="G219" s="222">
        <f t="shared" si="39"/>
        <v>4</v>
      </c>
      <c r="H219" s="284">
        <f t="shared" ca="1" si="42"/>
        <v>0</v>
      </c>
      <c r="I219" s="284">
        <f t="shared" ca="1" si="43"/>
        <v>0</v>
      </c>
      <c r="J219" s="287" t="s">
        <v>52</v>
      </c>
      <c r="W219" s="278" t="str">
        <f ca="1">AB219&amp;"-"&amp;COUNTIF($AB$2:$AB219,$AB219)</f>
        <v>0-2-0-77</v>
      </c>
      <c r="X219" s="278" t="s">
        <v>52</v>
      </c>
      <c r="Y219" s="289">
        <f t="shared" ca="1" si="45"/>
        <v>0</v>
      </c>
      <c r="Z219" s="271">
        <v>2</v>
      </c>
      <c r="AA219" s="277">
        <f t="shared" ca="1" si="40"/>
        <v>0</v>
      </c>
      <c r="AB219" s="279" t="str">
        <f t="shared" ca="1" si="44"/>
        <v>0-2-0</v>
      </c>
    </row>
    <row r="220" spans="1:28" x14ac:dyDescent="0.25">
      <c r="A220" s="281" t="s">
        <v>0</v>
      </c>
      <c r="B220" s="281" t="s">
        <v>43</v>
      </c>
      <c r="C220" s="281" t="s">
        <v>54</v>
      </c>
      <c r="D220" s="281" t="s">
        <v>14</v>
      </c>
      <c r="E220" s="281">
        <v>3</v>
      </c>
      <c r="F220" s="222" t="str">
        <f t="shared" si="41"/>
        <v>RISK-13</v>
      </c>
      <c r="G220" s="222">
        <f t="shared" si="39"/>
        <v>4</v>
      </c>
      <c r="H220" s="284">
        <f t="shared" ca="1" si="42"/>
        <v>0</v>
      </c>
      <c r="I220" s="284">
        <f t="shared" ca="1" si="43"/>
        <v>0</v>
      </c>
      <c r="J220" s="287" t="s">
        <v>54</v>
      </c>
      <c r="W220" s="278" t="str">
        <f ca="1">AB220&amp;"-"&amp;COUNTIF($AB$2:$AB220,$AB220)</f>
        <v>0-3-0-53</v>
      </c>
      <c r="X220" s="278" t="s">
        <v>54</v>
      </c>
      <c r="Y220" s="289">
        <f t="shared" ca="1" si="45"/>
        <v>0</v>
      </c>
      <c r="Z220" s="271">
        <v>3</v>
      </c>
      <c r="AA220" s="277">
        <f t="shared" ca="1" si="40"/>
        <v>0</v>
      </c>
      <c r="AB220" s="279" t="str">
        <f t="shared" ca="1" si="44"/>
        <v>0-3-0</v>
      </c>
    </row>
    <row r="221" spans="1:28" x14ac:dyDescent="0.25">
      <c r="A221" s="281" t="s">
        <v>0</v>
      </c>
      <c r="B221" s="281" t="s">
        <v>43</v>
      </c>
      <c r="C221" s="281" t="s">
        <v>56</v>
      </c>
      <c r="D221" s="281" t="s">
        <v>15</v>
      </c>
      <c r="E221" s="281">
        <v>3</v>
      </c>
      <c r="F221" s="222" t="str">
        <f t="shared" si="41"/>
        <v>RISK-13</v>
      </c>
      <c r="G221" s="222">
        <f t="shared" si="39"/>
        <v>4</v>
      </c>
      <c r="H221" s="284">
        <f t="shared" ca="1" si="42"/>
        <v>0</v>
      </c>
      <c r="I221" s="284">
        <f t="shared" ca="1" si="43"/>
        <v>0</v>
      </c>
      <c r="J221" s="287" t="s">
        <v>56</v>
      </c>
      <c r="W221" s="278" t="str">
        <f ca="1">AB221&amp;"-"&amp;COUNTIF($AB$2:$AB221,$AB221)</f>
        <v>0-3-0-54</v>
      </c>
      <c r="X221" s="278" t="s">
        <v>56</v>
      </c>
      <c r="Y221" s="289">
        <f t="shared" ca="1" si="45"/>
        <v>0</v>
      </c>
      <c r="Z221" s="271">
        <v>3</v>
      </c>
      <c r="AA221" s="277">
        <f t="shared" ca="1" si="40"/>
        <v>0</v>
      </c>
      <c r="AB221" s="279" t="str">
        <f t="shared" ca="1" si="44"/>
        <v>0-3-0</v>
      </c>
    </row>
    <row r="222" spans="1:28" x14ac:dyDescent="0.25">
      <c r="A222" s="281" t="s">
        <v>0</v>
      </c>
      <c r="B222" s="281" t="s">
        <v>43</v>
      </c>
      <c r="C222" s="281" t="s">
        <v>58</v>
      </c>
      <c r="D222" s="281" t="s">
        <v>16</v>
      </c>
      <c r="E222" s="281">
        <v>3</v>
      </c>
      <c r="F222" s="222" t="str">
        <f t="shared" si="41"/>
        <v>RISK-13</v>
      </c>
      <c r="G222" s="222">
        <f t="shared" si="39"/>
        <v>4</v>
      </c>
      <c r="H222" s="284">
        <f t="shared" ca="1" si="42"/>
        <v>0</v>
      </c>
      <c r="I222" s="284">
        <f t="shared" ca="1" si="43"/>
        <v>0</v>
      </c>
      <c r="J222" s="287" t="s">
        <v>58</v>
      </c>
      <c r="W222" s="278" t="str">
        <f ca="1">AB222&amp;"-"&amp;COUNTIF($AB$2:$AB222,$AB222)</f>
        <v>0-3-0-55</v>
      </c>
      <c r="X222" s="278" t="s">
        <v>58</v>
      </c>
      <c r="Y222" s="289">
        <f t="shared" ca="1" si="45"/>
        <v>0</v>
      </c>
      <c r="Z222" s="271">
        <v>3</v>
      </c>
      <c r="AA222" s="277">
        <f t="shared" ca="1" si="40"/>
        <v>0</v>
      </c>
      <c r="AB222" s="279" t="str">
        <f t="shared" ca="1" si="44"/>
        <v>0-3-0</v>
      </c>
    </row>
    <row r="223" spans="1:28" x14ac:dyDescent="0.25">
      <c r="A223" s="281" t="s">
        <v>0</v>
      </c>
      <c r="B223" s="281" t="s">
        <v>43</v>
      </c>
      <c r="C223" s="281" t="s">
        <v>61</v>
      </c>
      <c r="D223" s="281" t="s">
        <v>18</v>
      </c>
      <c r="E223" s="281">
        <v>3</v>
      </c>
      <c r="F223" s="222" t="str">
        <f t="shared" si="41"/>
        <v>RISK-13</v>
      </c>
      <c r="G223" s="222">
        <f t="shared" si="39"/>
        <v>4</v>
      </c>
      <c r="H223" s="284">
        <f t="shared" ca="1" si="42"/>
        <v>0</v>
      </c>
      <c r="I223" s="284">
        <f t="shared" ca="1" si="43"/>
        <v>0</v>
      </c>
      <c r="J223" s="287" t="s">
        <v>61</v>
      </c>
      <c r="W223" s="278" t="str">
        <f ca="1">AB223&amp;"-"&amp;COUNTIF($AB$2:$AB223,$AB223)</f>
        <v>0-3-0-56</v>
      </c>
      <c r="X223" s="278" t="s">
        <v>61</v>
      </c>
      <c r="Y223" s="289">
        <f t="shared" ca="1" si="45"/>
        <v>0</v>
      </c>
      <c r="Z223" s="271">
        <v>3</v>
      </c>
      <c r="AA223" s="277">
        <f t="shared" ca="1" si="40"/>
        <v>0</v>
      </c>
      <c r="AB223" s="279" t="str">
        <f t="shared" ca="1" si="44"/>
        <v>0-3-0</v>
      </c>
    </row>
    <row r="224" spans="1:28" x14ac:dyDescent="0.25">
      <c r="A224" s="281" t="s">
        <v>0</v>
      </c>
      <c r="B224" s="281" t="s">
        <v>47</v>
      </c>
      <c r="C224" s="281" t="s">
        <v>63</v>
      </c>
      <c r="D224" s="281" t="s">
        <v>20</v>
      </c>
      <c r="E224" s="281">
        <v>2</v>
      </c>
      <c r="F224" s="222" t="str">
        <f t="shared" si="41"/>
        <v>RISK-22</v>
      </c>
      <c r="G224" s="222">
        <f t="shared" si="39"/>
        <v>2</v>
      </c>
      <c r="H224" s="284">
        <f t="shared" ca="1" si="42"/>
        <v>0</v>
      </c>
      <c r="I224" s="284">
        <f t="shared" ca="1" si="43"/>
        <v>0</v>
      </c>
      <c r="J224" s="287" t="s">
        <v>63</v>
      </c>
      <c r="W224" s="278" t="str">
        <f ca="1">AB224&amp;"-"&amp;COUNTIF($AB$2:$AB224,$AB224)</f>
        <v>1-2-0-27</v>
      </c>
      <c r="X224" s="278" t="s">
        <v>63</v>
      </c>
      <c r="Y224" s="289">
        <f t="shared" ca="1" si="45"/>
        <v>1</v>
      </c>
      <c r="Z224" s="271">
        <v>2</v>
      </c>
      <c r="AA224" s="277">
        <f t="shared" ca="1" si="40"/>
        <v>0</v>
      </c>
      <c r="AB224" s="279" t="str">
        <f t="shared" ca="1" si="44"/>
        <v>1-2-0</v>
      </c>
    </row>
    <row r="225" spans="1:28" x14ac:dyDescent="0.25">
      <c r="A225" s="281" t="s">
        <v>0</v>
      </c>
      <c r="B225" s="281" t="s">
        <v>47</v>
      </c>
      <c r="C225" s="281" t="s">
        <v>65</v>
      </c>
      <c r="D225" s="281" t="s">
        <v>21</v>
      </c>
      <c r="E225" s="281">
        <v>2</v>
      </c>
      <c r="F225" s="222" t="str">
        <f t="shared" si="41"/>
        <v>RISK-22</v>
      </c>
      <c r="G225" s="222">
        <f t="shared" si="39"/>
        <v>2</v>
      </c>
      <c r="H225" s="284">
        <f t="shared" ca="1" si="42"/>
        <v>0</v>
      </c>
      <c r="I225" s="284">
        <f t="shared" ca="1" si="43"/>
        <v>0</v>
      </c>
      <c r="J225" s="287" t="s">
        <v>65</v>
      </c>
      <c r="W225" s="278" t="str">
        <f ca="1">AB225&amp;"-"&amp;COUNTIF($AB$2:$AB225,$AB225)</f>
        <v>1-2-0-28</v>
      </c>
      <c r="X225" s="278" t="s">
        <v>65</v>
      </c>
      <c r="Y225" s="289">
        <f t="shared" ca="1" si="45"/>
        <v>1</v>
      </c>
      <c r="Z225" s="271">
        <v>2</v>
      </c>
      <c r="AA225" s="277">
        <f t="shared" ca="1" si="40"/>
        <v>0</v>
      </c>
      <c r="AB225" s="279" t="str">
        <f t="shared" ca="1" si="44"/>
        <v>1-2-0</v>
      </c>
    </row>
    <row r="226" spans="1:28" x14ac:dyDescent="0.25">
      <c r="A226" s="281" t="s">
        <v>0</v>
      </c>
      <c r="B226" s="281" t="s">
        <v>47</v>
      </c>
      <c r="C226" s="281" t="s">
        <v>67</v>
      </c>
      <c r="D226" s="281" t="s">
        <v>22</v>
      </c>
      <c r="E226" s="281">
        <v>3</v>
      </c>
      <c r="F226" s="222" t="str">
        <f t="shared" si="41"/>
        <v>RISK-23</v>
      </c>
      <c r="G226" s="222">
        <f t="shared" si="39"/>
        <v>3</v>
      </c>
      <c r="H226" s="284">
        <f t="shared" ca="1" si="42"/>
        <v>0</v>
      </c>
      <c r="I226" s="284">
        <f t="shared" ca="1" si="43"/>
        <v>0</v>
      </c>
      <c r="J226" s="287" t="s">
        <v>67</v>
      </c>
      <c r="W226" s="278" t="str">
        <f ca="1">AB226&amp;"-"&amp;COUNTIF($AB$2:$AB226,$AB226)</f>
        <v>1-3-0-21</v>
      </c>
      <c r="X226" s="278" t="s">
        <v>67</v>
      </c>
      <c r="Y226" s="289">
        <f t="shared" ca="1" si="45"/>
        <v>1</v>
      </c>
      <c r="Z226" s="271">
        <v>3</v>
      </c>
      <c r="AA226" s="277">
        <f t="shared" ca="1" si="40"/>
        <v>0</v>
      </c>
      <c r="AB226" s="279" t="str">
        <f t="shared" ca="1" si="44"/>
        <v>1-3-0</v>
      </c>
    </row>
    <row r="227" spans="1:28" x14ac:dyDescent="0.25">
      <c r="A227" s="281" t="s">
        <v>0</v>
      </c>
      <c r="B227" s="281" t="s">
        <v>47</v>
      </c>
      <c r="C227" s="281" t="s">
        <v>70</v>
      </c>
      <c r="D227" s="281" t="s">
        <v>23</v>
      </c>
      <c r="E227" s="281">
        <v>3</v>
      </c>
      <c r="F227" s="222" t="str">
        <f t="shared" si="41"/>
        <v>RISK-23</v>
      </c>
      <c r="G227" s="222">
        <f t="shared" si="39"/>
        <v>3</v>
      </c>
      <c r="H227" s="284">
        <f t="shared" ca="1" si="42"/>
        <v>0</v>
      </c>
      <c r="I227" s="284">
        <f t="shared" ca="1" si="43"/>
        <v>0</v>
      </c>
      <c r="J227" s="287" t="s">
        <v>70</v>
      </c>
      <c r="W227" s="278" t="str">
        <f ca="1">AB227&amp;"-"&amp;COUNTIF($AB$2:$AB227,$AB227)</f>
        <v>1-3-0-22</v>
      </c>
      <c r="X227" s="278" t="s">
        <v>70</v>
      </c>
      <c r="Y227" s="289">
        <f t="shared" ca="1" si="45"/>
        <v>1</v>
      </c>
      <c r="Z227" s="271">
        <v>3</v>
      </c>
      <c r="AA227" s="277">
        <f t="shared" ca="1" si="40"/>
        <v>0</v>
      </c>
      <c r="AB227" s="279" t="str">
        <f t="shared" ca="1" si="44"/>
        <v>1-3-0</v>
      </c>
    </row>
    <row r="228" spans="1:28" x14ac:dyDescent="0.25">
      <c r="A228" s="281" t="s">
        <v>0</v>
      </c>
      <c r="B228" s="281" t="s">
        <v>47</v>
      </c>
      <c r="C228" s="281" t="s">
        <v>73</v>
      </c>
      <c r="D228" s="281" t="s">
        <v>24</v>
      </c>
      <c r="E228" s="281">
        <v>3</v>
      </c>
      <c r="F228" s="222" t="str">
        <f t="shared" si="41"/>
        <v>RISK-23</v>
      </c>
      <c r="G228" s="222">
        <f t="shared" si="39"/>
        <v>3</v>
      </c>
      <c r="H228" s="284">
        <f t="shared" ca="1" si="42"/>
        <v>0</v>
      </c>
      <c r="I228" s="284">
        <f t="shared" ca="1" si="43"/>
        <v>0</v>
      </c>
      <c r="J228" s="287" t="s">
        <v>73</v>
      </c>
      <c r="W228" s="278" t="str">
        <f ca="1">AB228&amp;"-"&amp;COUNTIF($AB$2:$AB228,$AB228)</f>
        <v>1-3-0-23</v>
      </c>
      <c r="X228" s="278" t="s">
        <v>73</v>
      </c>
      <c r="Y228" s="289">
        <f t="shared" ca="1" si="45"/>
        <v>1</v>
      </c>
      <c r="Z228" s="271">
        <v>3</v>
      </c>
      <c r="AA228" s="277">
        <f t="shared" ca="1" si="40"/>
        <v>0</v>
      </c>
      <c r="AB228" s="279" t="str">
        <f t="shared" ca="1" si="44"/>
        <v>1-3-0</v>
      </c>
    </row>
    <row r="229" spans="1:28" x14ac:dyDescent="0.25">
      <c r="A229" s="281" t="s">
        <v>0</v>
      </c>
      <c r="B229" s="281" t="s">
        <v>49</v>
      </c>
      <c r="C229" s="281" t="s">
        <v>75</v>
      </c>
      <c r="D229" s="281" t="s">
        <v>25</v>
      </c>
      <c r="E229" s="281">
        <v>2</v>
      </c>
      <c r="F229" s="222" t="str">
        <f t="shared" si="41"/>
        <v>RISK-32</v>
      </c>
      <c r="G229" s="222">
        <f t="shared" si="39"/>
        <v>4</v>
      </c>
      <c r="H229" s="284">
        <f t="shared" ca="1" si="42"/>
        <v>0</v>
      </c>
      <c r="I229" s="284">
        <f t="shared" ca="1" si="43"/>
        <v>0</v>
      </c>
      <c r="J229" s="287" t="s">
        <v>75</v>
      </c>
      <c r="W229" s="278" t="str">
        <f ca="1">AB229&amp;"-"&amp;COUNTIF($AB$2:$AB229,$AB229)</f>
        <v>1-2-0-29</v>
      </c>
      <c r="X229" s="278" t="s">
        <v>75</v>
      </c>
      <c r="Y229" s="289">
        <f t="shared" ca="1" si="45"/>
        <v>1</v>
      </c>
      <c r="Z229" s="271">
        <v>2</v>
      </c>
      <c r="AA229" s="277">
        <f t="shared" ca="1" si="40"/>
        <v>0</v>
      </c>
      <c r="AB229" s="279" t="str">
        <f t="shared" ca="1" si="44"/>
        <v>1-2-0</v>
      </c>
    </row>
    <row r="230" spans="1:28" x14ac:dyDescent="0.25">
      <c r="A230" s="281" t="s">
        <v>0</v>
      </c>
      <c r="B230" s="281" t="s">
        <v>49</v>
      </c>
      <c r="C230" s="281" t="s">
        <v>78</v>
      </c>
      <c r="D230" s="281" t="s">
        <v>26</v>
      </c>
      <c r="E230" s="281">
        <v>2</v>
      </c>
      <c r="F230" s="222" t="str">
        <f t="shared" si="41"/>
        <v>RISK-32</v>
      </c>
      <c r="G230" s="222">
        <f t="shared" si="39"/>
        <v>4</v>
      </c>
      <c r="H230" s="284">
        <f t="shared" ca="1" si="42"/>
        <v>0</v>
      </c>
      <c r="I230" s="284">
        <f t="shared" ca="1" si="43"/>
        <v>0</v>
      </c>
      <c r="J230" s="287" t="s">
        <v>78</v>
      </c>
      <c r="W230" s="278" t="str">
        <f ca="1">AB230&amp;"-"&amp;COUNTIF($AB$2:$AB230,$AB230)</f>
        <v>1-2-0-30</v>
      </c>
      <c r="X230" s="278" t="s">
        <v>78</v>
      </c>
      <c r="Y230" s="289">
        <f t="shared" ca="1" si="45"/>
        <v>1</v>
      </c>
      <c r="Z230" s="271">
        <v>2</v>
      </c>
      <c r="AA230" s="277">
        <f t="shared" ca="1" si="40"/>
        <v>0</v>
      </c>
      <c r="AB230" s="279" t="str">
        <f t="shared" ca="1" si="44"/>
        <v>1-2-0</v>
      </c>
    </row>
    <row r="231" spans="1:28" x14ac:dyDescent="0.25">
      <c r="A231" s="281" t="s">
        <v>0</v>
      </c>
      <c r="B231" s="281" t="s">
        <v>49</v>
      </c>
      <c r="C231" s="281" t="s">
        <v>81</v>
      </c>
      <c r="D231" s="281" t="s">
        <v>27</v>
      </c>
      <c r="E231" s="281">
        <v>2</v>
      </c>
      <c r="F231" s="222" t="str">
        <f t="shared" si="41"/>
        <v>RISK-32</v>
      </c>
      <c r="G231" s="222">
        <f t="shared" si="39"/>
        <v>4</v>
      </c>
      <c r="H231" s="284">
        <f t="shared" ca="1" si="42"/>
        <v>0</v>
      </c>
      <c r="I231" s="284">
        <f t="shared" ca="1" si="43"/>
        <v>0</v>
      </c>
      <c r="J231" s="287" t="s">
        <v>81</v>
      </c>
      <c r="W231" s="278" t="str">
        <f ca="1">AB231&amp;"-"&amp;COUNTIF($AB$2:$AB231,$AB231)</f>
        <v>1-2-0-31</v>
      </c>
      <c r="X231" s="278" t="s">
        <v>81</v>
      </c>
      <c r="Y231" s="289">
        <f t="shared" ca="1" si="45"/>
        <v>1</v>
      </c>
      <c r="Z231" s="271">
        <v>2</v>
      </c>
      <c r="AA231" s="277">
        <f t="shared" ca="1" si="40"/>
        <v>0</v>
      </c>
      <c r="AB231" s="279" t="str">
        <f t="shared" ca="1" si="44"/>
        <v>1-2-0</v>
      </c>
    </row>
    <row r="232" spans="1:28" x14ac:dyDescent="0.25">
      <c r="A232" s="281" t="s">
        <v>0</v>
      </c>
      <c r="B232" s="281" t="s">
        <v>49</v>
      </c>
      <c r="C232" s="281" t="s">
        <v>84</v>
      </c>
      <c r="D232" s="281" t="s">
        <v>28</v>
      </c>
      <c r="E232" s="281">
        <v>2</v>
      </c>
      <c r="F232" s="222" t="str">
        <f t="shared" si="41"/>
        <v>RISK-32</v>
      </c>
      <c r="G232" s="222">
        <f t="shared" si="39"/>
        <v>4</v>
      </c>
      <c r="H232" s="284">
        <f t="shared" ca="1" si="42"/>
        <v>0</v>
      </c>
      <c r="I232" s="284">
        <f t="shared" ca="1" si="43"/>
        <v>0</v>
      </c>
      <c r="J232" s="287" t="s">
        <v>84</v>
      </c>
      <c r="W232" s="278" t="str">
        <f ca="1">AB232&amp;"-"&amp;COUNTIF($AB$2:$AB232,$AB232)</f>
        <v>1-2-0-32</v>
      </c>
      <c r="X232" s="278" t="s">
        <v>84</v>
      </c>
      <c r="Y232" s="289">
        <f t="shared" ca="1" si="45"/>
        <v>1</v>
      </c>
      <c r="Z232" s="271">
        <v>2</v>
      </c>
      <c r="AA232" s="277">
        <f t="shared" ca="1" si="40"/>
        <v>0</v>
      </c>
      <c r="AB232" s="279" t="str">
        <f t="shared" ca="1" si="44"/>
        <v>1-2-0</v>
      </c>
    </row>
    <row r="233" spans="1:28" x14ac:dyDescent="0.25">
      <c r="A233" s="281" t="s">
        <v>0</v>
      </c>
      <c r="B233" s="281" t="s">
        <v>49</v>
      </c>
      <c r="C233" s="281" t="s">
        <v>86</v>
      </c>
      <c r="D233" s="281" t="s">
        <v>29</v>
      </c>
      <c r="E233" s="281">
        <v>3</v>
      </c>
      <c r="F233" s="222" t="str">
        <f t="shared" si="41"/>
        <v>RISK-33</v>
      </c>
      <c r="G233" s="222">
        <f t="shared" si="39"/>
        <v>3</v>
      </c>
      <c r="H233" s="284">
        <f t="shared" ca="1" si="42"/>
        <v>0</v>
      </c>
      <c r="I233" s="284">
        <f t="shared" ca="1" si="43"/>
        <v>0</v>
      </c>
      <c r="J233" s="287" t="s">
        <v>86</v>
      </c>
      <c r="W233" s="278" t="str">
        <f ca="1">AB233&amp;"-"&amp;COUNTIF($AB$2:$AB233,$AB233)</f>
        <v>1-3-0-24</v>
      </c>
      <c r="X233" s="278" t="s">
        <v>86</v>
      </c>
      <c r="Y233" s="289">
        <f t="shared" ca="1" si="45"/>
        <v>1</v>
      </c>
      <c r="Z233" s="271">
        <v>3</v>
      </c>
      <c r="AA233" s="277">
        <f t="shared" ca="1" si="40"/>
        <v>0</v>
      </c>
      <c r="AB233" s="279" t="str">
        <f t="shared" ca="1" si="44"/>
        <v>1-3-0</v>
      </c>
    </row>
    <row r="234" spans="1:28" x14ac:dyDescent="0.25">
      <c r="A234" s="281" t="s">
        <v>0</v>
      </c>
      <c r="B234" s="281" t="s">
        <v>49</v>
      </c>
      <c r="C234" s="281" t="s">
        <v>88</v>
      </c>
      <c r="D234" s="281" t="s">
        <v>30</v>
      </c>
      <c r="E234" s="281">
        <v>3</v>
      </c>
      <c r="F234" s="222" t="str">
        <f t="shared" si="41"/>
        <v>RISK-33</v>
      </c>
      <c r="G234" s="222">
        <f t="shared" si="39"/>
        <v>3</v>
      </c>
      <c r="H234" s="284">
        <f t="shared" ca="1" si="42"/>
        <v>0</v>
      </c>
      <c r="I234" s="284">
        <f t="shared" ca="1" si="43"/>
        <v>0</v>
      </c>
      <c r="J234" s="287" t="s">
        <v>88</v>
      </c>
      <c r="W234" s="278" t="str">
        <f ca="1">AB234&amp;"-"&amp;COUNTIF($AB$2:$AB234,$AB234)</f>
        <v>1-3-0-25</v>
      </c>
      <c r="X234" s="278" t="s">
        <v>88</v>
      </c>
      <c r="Y234" s="289">
        <f t="shared" ca="1" si="45"/>
        <v>1</v>
      </c>
      <c r="Z234" s="271">
        <v>3</v>
      </c>
      <c r="AA234" s="277">
        <f t="shared" ca="1" si="40"/>
        <v>0</v>
      </c>
      <c r="AB234" s="279" t="str">
        <f t="shared" ca="1" si="44"/>
        <v>1-3-0</v>
      </c>
    </row>
    <row r="235" spans="1:28" x14ac:dyDescent="0.25">
      <c r="A235" s="281" t="s">
        <v>0</v>
      </c>
      <c r="B235" s="281" t="s">
        <v>49</v>
      </c>
      <c r="C235" s="281" t="s">
        <v>90</v>
      </c>
      <c r="D235" s="281" t="s">
        <v>31</v>
      </c>
      <c r="E235" s="281">
        <v>3</v>
      </c>
      <c r="F235" s="222" t="str">
        <f t="shared" si="41"/>
        <v>RISK-33</v>
      </c>
      <c r="G235" s="222">
        <f t="shared" si="39"/>
        <v>3</v>
      </c>
      <c r="H235" s="284">
        <f t="shared" ca="1" si="42"/>
        <v>0</v>
      </c>
      <c r="I235" s="284">
        <f t="shared" ca="1" si="43"/>
        <v>0</v>
      </c>
      <c r="J235" s="287" t="s">
        <v>90</v>
      </c>
      <c r="W235" s="278" t="str">
        <f ca="1">AB235&amp;"-"&amp;COUNTIF($AB$2:$AB235,$AB235)</f>
        <v>1-3-0-26</v>
      </c>
      <c r="X235" s="278" t="s">
        <v>90</v>
      </c>
      <c r="Y235" s="289">
        <f t="shared" ca="1" si="45"/>
        <v>1</v>
      </c>
      <c r="Z235" s="271">
        <v>3</v>
      </c>
      <c r="AA235" s="277">
        <f t="shared" ca="1" si="40"/>
        <v>0</v>
      </c>
      <c r="AB235" s="279" t="str">
        <f t="shared" ca="1" si="44"/>
        <v>1-3-0</v>
      </c>
    </row>
    <row r="236" spans="1:28" x14ac:dyDescent="0.25">
      <c r="A236" s="281" t="s">
        <v>72</v>
      </c>
      <c r="B236" s="281" t="s">
        <v>87</v>
      </c>
      <c r="C236" s="281" t="s">
        <v>225</v>
      </c>
      <c r="D236" s="281" t="s">
        <v>7</v>
      </c>
      <c r="E236" s="281">
        <v>1</v>
      </c>
      <c r="F236" s="222" t="str">
        <f t="shared" si="41"/>
        <v>SITUATION-11</v>
      </c>
      <c r="G236" s="222">
        <f t="shared" si="39"/>
        <v>1</v>
      </c>
      <c r="H236" s="284">
        <f t="shared" ca="1" si="42"/>
        <v>0</v>
      </c>
      <c r="I236" s="284">
        <f t="shared" ca="1" si="43"/>
        <v>0</v>
      </c>
      <c r="J236" s="287" t="s">
        <v>225</v>
      </c>
      <c r="W236" s="278" t="str">
        <f ca="1">AB236&amp;"-"&amp;COUNTIF($AB$2:$AB236,$AB236)</f>
        <v>0-1-0-44</v>
      </c>
      <c r="X236" s="278" t="s">
        <v>225</v>
      </c>
      <c r="Y236" s="289">
        <f t="shared" ca="1" si="45"/>
        <v>0</v>
      </c>
      <c r="Z236" s="271">
        <v>1</v>
      </c>
      <c r="AA236" s="277">
        <f t="shared" ca="1" si="40"/>
        <v>0</v>
      </c>
      <c r="AB236" s="279" t="str">
        <f t="shared" ca="1" si="44"/>
        <v>0-1-0</v>
      </c>
    </row>
    <row r="237" spans="1:28" x14ac:dyDescent="0.25">
      <c r="A237" s="281" t="s">
        <v>72</v>
      </c>
      <c r="B237" s="281" t="s">
        <v>87</v>
      </c>
      <c r="C237" s="281" t="s">
        <v>226</v>
      </c>
      <c r="D237" s="281" t="s">
        <v>9</v>
      </c>
      <c r="E237" s="281">
        <v>2</v>
      </c>
      <c r="F237" s="222" t="str">
        <f t="shared" si="41"/>
        <v>SITUATION-12</v>
      </c>
      <c r="G237" s="222">
        <f t="shared" si="39"/>
        <v>2</v>
      </c>
      <c r="H237" s="284">
        <f t="shared" ca="1" si="42"/>
        <v>0</v>
      </c>
      <c r="I237" s="284">
        <f t="shared" ca="1" si="43"/>
        <v>0</v>
      </c>
      <c r="J237" s="287" t="s">
        <v>226</v>
      </c>
      <c r="W237" s="278" t="str">
        <f ca="1">AB237&amp;"-"&amp;COUNTIF($AB$2:$AB237,$AB237)</f>
        <v>0-2-0-78</v>
      </c>
      <c r="X237" s="278" t="s">
        <v>226</v>
      </c>
      <c r="Y237" s="289">
        <f t="shared" ca="1" si="45"/>
        <v>0</v>
      </c>
      <c r="Z237" s="271">
        <v>2</v>
      </c>
      <c r="AA237" s="277">
        <f t="shared" ca="1" si="40"/>
        <v>0</v>
      </c>
      <c r="AB237" s="279" t="str">
        <f t="shared" ca="1" si="44"/>
        <v>0-2-0</v>
      </c>
    </row>
    <row r="238" spans="1:28" x14ac:dyDescent="0.25">
      <c r="A238" s="281" t="s">
        <v>72</v>
      </c>
      <c r="B238" s="281" t="s">
        <v>87</v>
      </c>
      <c r="C238" s="281" t="s">
        <v>227</v>
      </c>
      <c r="D238" s="281" t="s">
        <v>10</v>
      </c>
      <c r="E238" s="281">
        <v>2</v>
      </c>
      <c r="F238" s="222" t="str">
        <f t="shared" si="41"/>
        <v>SITUATION-12</v>
      </c>
      <c r="G238" s="222">
        <f t="shared" si="39"/>
        <v>2</v>
      </c>
      <c r="H238" s="284">
        <f t="shared" ca="1" si="42"/>
        <v>0</v>
      </c>
      <c r="I238" s="284">
        <f t="shared" ca="1" si="43"/>
        <v>0</v>
      </c>
      <c r="J238" s="287" t="s">
        <v>227</v>
      </c>
      <c r="W238" s="278" t="str">
        <f ca="1">AB238&amp;"-"&amp;COUNTIF($AB$2:$AB238,$AB238)</f>
        <v>0-2-0-79</v>
      </c>
      <c r="X238" s="278" t="s">
        <v>227</v>
      </c>
      <c r="Y238" s="289">
        <f t="shared" ca="1" si="45"/>
        <v>0</v>
      </c>
      <c r="Z238" s="271">
        <v>2</v>
      </c>
      <c r="AA238" s="277">
        <f t="shared" ca="1" si="40"/>
        <v>0</v>
      </c>
      <c r="AB238" s="279" t="str">
        <f t="shared" ca="1" si="44"/>
        <v>0-2-0</v>
      </c>
    </row>
    <row r="239" spans="1:28" x14ac:dyDescent="0.25">
      <c r="A239" s="281" t="s">
        <v>72</v>
      </c>
      <c r="B239" s="281" t="s">
        <v>87</v>
      </c>
      <c r="C239" s="281" t="s">
        <v>228</v>
      </c>
      <c r="D239" s="281" t="s">
        <v>11</v>
      </c>
      <c r="E239" s="281">
        <v>3</v>
      </c>
      <c r="F239" s="222" t="str">
        <f t="shared" si="41"/>
        <v>SITUATION-13</v>
      </c>
      <c r="G239" s="222">
        <f t="shared" si="39"/>
        <v>1</v>
      </c>
      <c r="H239" s="284">
        <f t="shared" ca="1" si="42"/>
        <v>0</v>
      </c>
      <c r="I239" s="284">
        <f t="shared" ca="1" si="43"/>
        <v>0</v>
      </c>
      <c r="J239" s="287" t="s">
        <v>228</v>
      </c>
      <c r="W239" s="278" t="str">
        <f ca="1">AB239&amp;"-"&amp;COUNTIF($AB$2:$AB239,$AB239)</f>
        <v>0-3-0-57</v>
      </c>
      <c r="X239" s="278" t="s">
        <v>228</v>
      </c>
      <c r="Y239" s="289">
        <f t="shared" ca="1" si="45"/>
        <v>0</v>
      </c>
      <c r="Z239" s="271">
        <v>3</v>
      </c>
      <c r="AA239" s="277">
        <f t="shared" ca="1" si="40"/>
        <v>0</v>
      </c>
      <c r="AB239" s="279" t="str">
        <f t="shared" ca="1" si="44"/>
        <v>0-3-0</v>
      </c>
    </row>
    <row r="240" spans="1:28" x14ac:dyDescent="0.25">
      <c r="A240" s="281" t="s">
        <v>72</v>
      </c>
      <c r="B240" s="281" t="s">
        <v>89</v>
      </c>
      <c r="C240" s="281" t="s">
        <v>229</v>
      </c>
      <c r="D240" s="281" t="s">
        <v>20</v>
      </c>
      <c r="E240" s="281">
        <v>1</v>
      </c>
      <c r="F240" s="222" t="str">
        <f t="shared" si="41"/>
        <v>SITUATION-21</v>
      </c>
      <c r="G240" s="222">
        <f t="shared" si="39"/>
        <v>2</v>
      </c>
      <c r="H240" s="284">
        <f t="shared" ca="1" si="42"/>
        <v>0</v>
      </c>
      <c r="I240" s="284">
        <f t="shared" ca="1" si="43"/>
        <v>0</v>
      </c>
      <c r="J240" s="287" t="s">
        <v>229</v>
      </c>
      <c r="W240" s="278" t="str">
        <f ca="1">AB240&amp;"-"&amp;COUNTIF($AB$2:$AB240,$AB240)</f>
        <v>0-1-0-45</v>
      </c>
      <c r="X240" s="278" t="s">
        <v>229</v>
      </c>
      <c r="Y240" s="289">
        <f t="shared" ca="1" si="45"/>
        <v>0</v>
      </c>
      <c r="Z240" s="271">
        <v>1</v>
      </c>
      <c r="AA240" s="277">
        <f t="shared" ca="1" si="40"/>
        <v>0</v>
      </c>
      <c r="AB240" s="279" t="str">
        <f t="shared" ca="1" si="44"/>
        <v>0-1-0</v>
      </c>
    </row>
    <row r="241" spans="1:28" x14ac:dyDescent="0.25">
      <c r="A241" s="281" t="s">
        <v>72</v>
      </c>
      <c r="B241" s="281" t="s">
        <v>89</v>
      </c>
      <c r="C241" s="281" t="s">
        <v>230</v>
      </c>
      <c r="D241" s="281" t="s">
        <v>21</v>
      </c>
      <c r="E241" s="281">
        <v>1</v>
      </c>
      <c r="F241" s="222" t="str">
        <f t="shared" si="41"/>
        <v>SITUATION-21</v>
      </c>
      <c r="G241" s="222">
        <f t="shared" si="39"/>
        <v>2</v>
      </c>
      <c r="H241" s="284">
        <f t="shared" ca="1" si="42"/>
        <v>0</v>
      </c>
      <c r="I241" s="284">
        <f t="shared" ca="1" si="43"/>
        <v>0</v>
      </c>
      <c r="J241" s="287" t="s">
        <v>230</v>
      </c>
      <c r="W241" s="278" t="str">
        <f ca="1">AB241&amp;"-"&amp;COUNTIF($AB$2:$AB241,$AB241)</f>
        <v>0-1-0-46</v>
      </c>
      <c r="X241" s="278" t="s">
        <v>230</v>
      </c>
      <c r="Y241" s="289">
        <f t="shared" ca="1" si="45"/>
        <v>0</v>
      </c>
      <c r="Z241" s="271">
        <v>1</v>
      </c>
      <c r="AA241" s="277">
        <f t="shared" ca="1" si="40"/>
        <v>0</v>
      </c>
      <c r="AB241" s="279" t="str">
        <f t="shared" ca="1" si="44"/>
        <v>0-1-0</v>
      </c>
    </row>
    <row r="242" spans="1:28" x14ac:dyDescent="0.25">
      <c r="A242" s="281" t="s">
        <v>72</v>
      </c>
      <c r="B242" s="281" t="s">
        <v>89</v>
      </c>
      <c r="C242" s="281" t="s">
        <v>231</v>
      </c>
      <c r="D242" s="281" t="s">
        <v>22</v>
      </c>
      <c r="E242" s="281">
        <v>2</v>
      </c>
      <c r="F242" s="222" t="str">
        <f t="shared" si="41"/>
        <v>SITUATION-22</v>
      </c>
      <c r="G242" s="222">
        <f t="shared" si="39"/>
        <v>4</v>
      </c>
      <c r="H242" s="284">
        <f t="shared" ca="1" si="42"/>
        <v>0</v>
      </c>
      <c r="I242" s="284">
        <f t="shared" ca="1" si="43"/>
        <v>0</v>
      </c>
      <c r="J242" s="287" t="s">
        <v>231</v>
      </c>
      <c r="W242" s="278" t="str">
        <f ca="1">AB242&amp;"-"&amp;COUNTIF($AB$2:$AB242,$AB242)</f>
        <v>0-2-0-80</v>
      </c>
      <c r="X242" s="278" t="s">
        <v>231</v>
      </c>
      <c r="Y242" s="289">
        <f t="shared" ca="1" si="45"/>
        <v>0</v>
      </c>
      <c r="Z242" s="271">
        <v>2</v>
      </c>
      <c r="AA242" s="277">
        <f t="shared" ca="1" si="40"/>
        <v>0</v>
      </c>
      <c r="AB242" s="279" t="str">
        <f t="shared" ca="1" si="44"/>
        <v>0-2-0</v>
      </c>
    </row>
    <row r="243" spans="1:28" x14ac:dyDescent="0.25">
      <c r="A243" s="281" t="s">
        <v>72</v>
      </c>
      <c r="B243" s="281" t="s">
        <v>89</v>
      </c>
      <c r="C243" s="281" t="s">
        <v>232</v>
      </c>
      <c r="D243" s="281" t="s">
        <v>23</v>
      </c>
      <c r="E243" s="281">
        <v>2</v>
      </c>
      <c r="F243" s="222" t="str">
        <f t="shared" si="41"/>
        <v>SITUATION-22</v>
      </c>
      <c r="G243" s="222">
        <f t="shared" si="39"/>
        <v>4</v>
      </c>
      <c r="H243" s="284">
        <f t="shared" ca="1" si="42"/>
        <v>0</v>
      </c>
      <c r="I243" s="284">
        <f t="shared" ca="1" si="43"/>
        <v>0</v>
      </c>
      <c r="J243" s="287" t="s">
        <v>232</v>
      </c>
      <c r="W243" s="278" t="str">
        <f ca="1">AB243&amp;"-"&amp;COUNTIF($AB$2:$AB243,$AB243)</f>
        <v>0-2-0-81</v>
      </c>
      <c r="X243" s="278" t="s">
        <v>232</v>
      </c>
      <c r="Y243" s="289">
        <f t="shared" ca="1" si="45"/>
        <v>0</v>
      </c>
      <c r="Z243" s="271">
        <v>2</v>
      </c>
      <c r="AA243" s="277">
        <f t="shared" ca="1" si="40"/>
        <v>0</v>
      </c>
      <c r="AB243" s="279" t="str">
        <f t="shared" ca="1" si="44"/>
        <v>0-2-0</v>
      </c>
    </row>
    <row r="244" spans="1:28" x14ac:dyDescent="0.25">
      <c r="A244" s="281" t="s">
        <v>72</v>
      </c>
      <c r="B244" s="281" t="s">
        <v>89</v>
      </c>
      <c r="C244" s="281" t="s">
        <v>233</v>
      </c>
      <c r="D244" s="281" t="s">
        <v>24</v>
      </c>
      <c r="E244" s="281">
        <v>2</v>
      </c>
      <c r="F244" s="222" t="str">
        <f t="shared" si="41"/>
        <v>SITUATION-22</v>
      </c>
      <c r="G244" s="222">
        <f t="shared" si="39"/>
        <v>4</v>
      </c>
      <c r="H244" s="284">
        <f t="shared" ca="1" si="42"/>
        <v>0</v>
      </c>
      <c r="I244" s="284">
        <f t="shared" ca="1" si="43"/>
        <v>0</v>
      </c>
      <c r="J244" s="287" t="s">
        <v>233</v>
      </c>
      <c r="W244" s="278" t="str">
        <f ca="1">AB244&amp;"-"&amp;COUNTIF($AB$2:$AB244,$AB244)</f>
        <v>0-2-0-82</v>
      </c>
      <c r="X244" s="278" t="s">
        <v>233</v>
      </c>
      <c r="Y244" s="289">
        <f t="shared" ca="1" si="45"/>
        <v>0</v>
      </c>
      <c r="Z244" s="271">
        <v>2</v>
      </c>
      <c r="AA244" s="277">
        <f t="shared" ca="1" si="40"/>
        <v>0</v>
      </c>
      <c r="AB244" s="279" t="str">
        <f t="shared" ca="1" si="44"/>
        <v>0-2-0</v>
      </c>
    </row>
    <row r="245" spans="1:28" x14ac:dyDescent="0.25">
      <c r="A245" s="281" t="s">
        <v>72</v>
      </c>
      <c r="B245" s="281" t="s">
        <v>89</v>
      </c>
      <c r="C245" s="281" t="s">
        <v>234</v>
      </c>
      <c r="D245" s="281" t="s">
        <v>112</v>
      </c>
      <c r="E245" s="281">
        <v>2</v>
      </c>
      <c r="F245" s="222" t="str">
        <f t="shared" si="41"/>
        <v>SITUATION-22</v>
      </c>
      <c r="G245" s="222">
        <f t="shared" si="39"/>
        <v>4</v>
      </c>
      <c r="H245" s="284">
        <f t="shared" ca="1" si="42"/>
        <v>0</v>
      </c>
      <c r="I245" s="284">
        <f t="shared" ca="1" si="43"/>
        <v>0</v>
      </c>
      <c r="J245" s="287" t="s">
        <v>234</v>
      </c>
      <c r="W245" s="278" t="str">
        <f ca="1">AB245&amp;"-"&amp;COUNTIF($AB$2:$AB245,$AB245)</f>
        <v>0-2-0-83</v>
      </c>
      <c r="X245" s="278" t="s">
        <v>234</v>
      </c>
      <c r="Y245" s="289">
        <f t="shared" ca="1" si="45"/>
        <v>0</v>
      </c>
      <c r="Z245" s="271">
        <v>2</v>
      </c>
      <c r="AA245" s="277">
        <f t="shared" ca="1" si="40"/>
        <v>0</v>
      </c>
      <c r="AB245" s="279" t="str">
        <f t="shared" ca="1" si="44"/>
        <v>0-2-0</v>
      </c>
    </row>
    <row r="246" spans="1:28" x14ac:dyDescent="0.25">
      <c r="A246" s="281" t="s">
        <v>72</v>
      </c>
      <c r="B246" s="281" t="s">
        <v>89</v>
      </c>
      <c r="C246" s="281" t="s">
        <v>235</v>
      </c>
      <c r="D246" s="281" t="s">
        <v>176</v>
      </c>
      <c r="E246" s="281">
        <v>3</v>
      </c>
      <c r="F246" s="222" t="str">
        <f t="shared" si="41"/>
        <v>SITUATION-23</v>
      </c>
      <c r="G246" s="222">
        <f t="shared" si="39"/>
        <v>4</v>
      </c>
      <c r="H246" s="284">
        <f t="shared" ca="1" si="42"/>
        <v>0</v>
      </c>
      <c r="I246" s="284">
        <f t="shared" ca="1" si="43"/>
        <v>0</v>
      </c>
      <c r="J246" s="287" t="s">
        <v>235</v>
      </c>
      <c r="W246" s="278" t="str">
        <f ca="1">AB246&amp;"-"&amp;COUNTIF($AB$2:$AB246,$AB246)</f>
        <v>0-3-0-58</v>
      </c>
      <c r="X246" s="278" t="s">
        <v>235</v>
      </c>
      <c r="Y246" s="289">
        <f t="shared" ref="Y246:Y277" ca="1" si="46">VLOOKUP(LEFT($X246,LEN($X246)-1),$K:$O,5,FALSE)</f>
        <v>0</v>
      </c>
      <c r="Z246" s="271">
        <v>3</v>
      </c>
      <c r="AA246" s="277">
        <f t="shared" ca="1" si="40"/>
        <v>0</v>
      </c>
      <c r="AB246" s="279" t="str">
        <f t="shared" ca="1" si="44"/>
        <v>0-3-0</v>
      </c>
    </row>
    <row r="247" spans="1:28" x14ac:dyDescent="0.25">
      <c r="A247" s="281" t="s">
        <v>72</v>
      </c>
      <c r="B247" s="281" t="s">
        <v>89</v>
      </c>
      <c r="C247" s="281" t="s">
        <v>236</v>
      </c>
      <c r="D247" s="281" t="s">
        <v>178</v>
      </c>
      <c r="E247" s="281">
        <v>3</v>
      </c>
      <c r="F247" s="222" t="str">
        <f t="shared" si="41"/>
        <v>SITUATION-23</v>
      </c>
      <c r="G247" s="222">
        <f t="shared" si="39"/>
        <v>4</v>
      </c>
      <c r="H247" s="284">
        <f t="shared" ca="1" si="42"/>
        <v>0</v>
      </c>
      <c r="I247" s="284">
        <f t="shared" ca="1" si="43"/>
        <v>0</v>
      </c>
      <c r="J247" s="287" t="s">
        <v>236</v>
      </c>
      <c r="W247" s="278" t="str">
        <f ca="1">AB247&amp;"-"&amp;COUNTIF($AB$2:$AB247,$AB247)</f>
        <v>0-3-0-59</v>
      </c>
      <c r="X247" s="278" t="s">
        <v>236</v>
      </c>
      <c r="Y247" s="289">
        <f t="shared" ca="1" si="46"/>
        <v>0</v>
      </c>
      <c r="Z247" s="271">
        <v>3</v>
      </c>
      <c r="AA247" s="277">
        <f t="shared" ca="1" si="40"/>
        <v>0</v>
      </c>
      <c r="AB247" s="279" t="str">
        <f t="shared" ca="1" si="44"/>
        <v>0-3-0</v>
      </c>
    </row>
    <row r="248" spans="1:28" x14ac:dyDescent="0.25">
      <c r="A248" s="281" t="s">
        <v>72</v>
      </c>
      <c r="B248" s="281" t="s">
        <v>89</v>
      </c>
      <c r="C248" s="281" t="s">
        <v>237</v>
      </c>
      <c r="D248" s="281" t="s">
        <v>209</v>
      </c>
      <c r="E248" s="281">
        <v>3</v>
      </c>
      <c r="F248" s="222" t="str">
        <f t="shared" si="41"/>
        <v>SITUATION-23</v>
      </c>
      <c r="G248" s="222">
        <f t="shared" si="39"/>
        <v>4</v>
      </c>
      <c r="H248" s="284">
        <f t="shared" ca="1" si="42"/>
        <v>0</v>
      </c>
      <c r="I248" s="284">
        <f t="shared" ca="1" si="43"/>
        <v>0</v>
      </c>
      <c r="J248" s="287" t="s">
        <v>237</v>
      </c>
      <c r="W248" s="278" t="str">
        <f ca="1">AB248&amp;"-"&amp;COUNTIF($AB$2:$AB248,$AB248)</f>
        <v>0-3-0-60</v>
      </c>
      <c r="X248" s="278" t="s">
        <v>237</v>
      </c>
      <c r="Y248" s="289">
        <f t="shared" ca="1" si="46"/>
        <v>0</v>
      </c>
      <c r="Z248" s="271">
        <v>3</v>
      </c>
      <c r="AA248" s="277">
        <f t="shared" ca="1" si="40"/>
        <v>0</v>
      </c>
      <c r="AB248" s="279" t="str">
        <f t="shared" ca="1" si="44"/>
        <v>0-3-0</v>
      </c>
    </row>
    <row r="249" spans="1:28" x14ac:dyDescent="0.25">
      <c r="A249" s="281" t="s">
        <v>72</v>
      </c>
      <c r="B249" s="281" t="s">
        <v>89</v>
      </c>
      <c r="C249" s="281" t="s">
        <v>238</v>
      </c>
      <c r="D249" s="281" t="s">
        <v>211</v>
      </c>
      <c r="E249" s="281">
        <v>3</v>
      </c>
      <c r="F249" s="222" t="str">
        <f t="shared" si="41"/>
        <v>SITUATION-23</v>
      </c>
      <c r="G249" s="222">
        <f t="shared" si="39"/>
        <v>4</v>
      </c>
      <c r="H249" s="284">
        <f t="shared" ca="1" si="42"/>
        <v>0</v>
      </c>
      <c r="I249" s="284">
        <f t="shared" ca="1" si="43"/>
        <v>0</v>
      </c>
      <c r="J249" s="287" t="s">
        <v>238</v>
      </c>
      <c r="W249" s="278" t="str">
        <f ca="1">AB249&amp;"-"&amp;COUNTIF($AB$2:$AB249,$AB249)</f>
        <v>0-3-0-61</v>
      </c>
      <c r="X249" s="278" t="s">
        <v>238</v>
      </c>
      <c r="Y249" s="289">
        <f t="shared" ca="1" si="46"/>
        <v>0</v>
      </c>
      <c r="Z249" s="271">
        <v>3</v>
      </c>
      <c r="AA249" s="277">
        <f t="shared" ca="1" si="40"/>
        <v>0</v>
      </c>
      <c r="AB249" s="279" t="str">
        <f t="shared" ca="1" si="44"/>
        <v>0-3-0</v>
      </c>
    </row>
    <row r="250" spans="1:28" x14ac:dyDescent="0.25">
      <c r="A250" s="281" t="s">
        <v>72</v>
      </c>
      <c r="B250" s="281" t="s">
        <v>91</v>
      </c>
      <c r="C250" s="281" t="s">
        <v>239</v>
      </c>
      <c r="D250" s="281" t="s">
        <v>25</v>
      </c>
      <c r="E250" s="281">
        <v>2</v>
      </c>
      <c r="F250" s="222" t="str">
        <f t="shared" si="41"/>
        <v>SITUATION-32</v>
      </c>
      <c r="G250" s="222">
        <f t="shared" si="39"/>
        <v>3</v>
      </c>
      <c r="H250" s="284">
        <f t="shared" ca="1" si="42"/>
        <v>0</v>
      </c>
      <c r="I250" s="284">
        <f t="shared" ca="1" si="43"/>
        <v>0</v>
      </c>
      <c r="J250" s="287" t="s">
        <v>239</v>
      </c>
      <c r="W250" s="278" t="str">
        <f ca="1">AB250&amp;"-"&amp;COUNTIF($AB$2:$AB250,$AB250)</f>
        <v>1-2-0-33</v>
      </c>
      <c r="X250" s="278" t="s">
        <v>239</v>
      </c>
      <c r="Y250" s="289">
        <f t="shared" ca="1" si="46"/>
        <v>1</v>
      </c>
      <c r="Z250" s="271">
        <v>2</v>
      </c>
      <c r="AA250" s="277">
        <f t="shared" ca="1" si="40"/>
        <v>0</v>
      </c>
      <c r="AB250" s="279" t="str">
        <f t="shared" ca="1" si="44"/>
        <v>1-2-0</v>
      </c>
    </row>
    <row r="251" spans="1:28" x14ac:dyDescent="0.25">
      <c r="A251" s="281" t="s">
        <v>72</v>
      </c>
      <c r="B251" s="281" t="s">
        <v>91</v>
      </c>
      <c r="C251" s="281" t="s">
        <v>240</v>
      </c>
      <c r="D251" s="281" t="s">
        <v>26</v>
      </c>
      <c r="E251" s="281">
        <v>2</v>
      </c>
      <c r="F251" s="222" t="str">
        <f t="shared" si="41"/>
        <v>SITUATION-32</v>
      </c>
      <c r="G251" s="222">
        <f t="shared" si="39"/>
        <v>3</v>
      </c>
      <c r="H251" s="284">
        <f t="shared" ca="1" si="42"/>
        <v>0</v>
      </c>
      <c r="I251" s="284">
        <f t="shared" ca="1" si="43"/>
        <v>0</v>
      </c>
      <c r="J251" s="287" t="s">
        <v>240</v>
      </c>
      <c r="W251" s="278" t="str">
        <f ca="1">AB251&amp;"-"&amp;COUNTIF($AB$2:$AB251,$AB251)</f>
        <v>1-2-0-34</v>
      </c>
      <c r="X251" s="278" t="s">
        <v>240</v>
      </c>
      <c r="Y251" s="289">
        <f t="shared" ca="1" si="46"/>
        <v>1</v>
      </c>
      <c r="Z251" s="271">
        <v>2</v>
      </c>
      <c r="AA251" s="277">
        <f t="shared" ca="1" si="40"/>
        <v>0</v>
      </c>
      <c r="AB251" s="279" t="str">
        <f t="shared" ca="1" si="44"/>
        <v>1-2-0</v>
      </c>
    </row>
    <row r="252" spans="1:28" x14ac:dyDescent="0.25">
      <c r="A252" s="281" t="s">
        <v>72</v>
      </c>
      <c r="B252" s="281" t="s">
        <v>91</v>
      </c>
      <c r="C252" s="281" t="s">
        <v>241</v>
      </c>
      <c r="D252" s="281" t="s">
        <v>27</v>
      </c>
      <c r="E252" s="281">
        <v>2</v>
      </c>
      <c r="F252" s="222" t="str">
        <f t="shared" si="41"/>
        <v>SITUATION-32</v>
      </c>
      <c r="G252" s="222">
        <f t="shared" si="39"/>
        <v>3</v>
      </c>
      <c r="H252" s="284">
        <f t="shared" ca="1" si="42"/>
        <v>0</v>
      </c>
      <c r="I252" s="284">
        <f t="shared" ca="1" si="43"/>
        <v>0</v>
      </c>
      <c r="J252" s="287" t="s">
        <v>241</v>
      </c>
      <c r="W252" s="278" t="str">
        <f ca="1">AB252&amp;"-"&amp;COUNTIF($AB$2:$AB252,$AB252)</f>
        <v>1-2-0-35</v>
      </c>
      <c r="X252" s="278" t="s">
        <v>241</v>
      </c>
      <c r="Y252" s="289">
        <f t="shared" ca="1" si="46"/>
        <v>1</v>
      </c>
      <c r="Z252" s="271">
        <v>2</v>
      </c>
      <c r="AA252" s="277">
        <f t="shared" ca="1" si="40"/>
        <v>0</v>
      </c>
      <c r="AB252" s="279" t="str">
        <f t="shared" ca="1" si="44"/>
        <v>1-2-0</v>
      </c>
    </row>
    <row r="253" spans="1:28" x14ac:dyDescent="0.25">
      <c r="A253" s="281" t="s">
        <v>72</v>
      </c>
      <c r="B253" s="281" t="s">
        <v>91</v>
      </c>
      <c r="C253" s="281" t="s">
        <v>242</v>
      </c>
      <c r="D253" s="281" t="s">
        <v>28</v>
      </c>
      <c r="E253" s="281">
        <v>3</v>
      </c>
      <c r="F253" s="222" t="str">
        <f t="shared" si="41"/>
        <v>SITUATION-33</v>
      </c>
      <c r="G253" s="222">
        <f t="shared" si="39"/>
        <v>5</v>
      </c>
      <c r="H253" s="284">
        <f t="shared" ca="1" si="42"/>
        <v>0</v>
      </c>
      <c r="I253" s="284">
        <f t="shared" ca="1" si="43"/>
        <v>0</v>
      </c>
      <c r="J253" s="287" t="s">
        <v>242</v>
      </c>
      <c r="W253" s="278" t="str">
        <f ca="1">AB253&amp;"-"&amp;COUNTIF($AB$2:$AB253,$AB253)</f>
        <v>1-3-0-27</v>
      </c>
      <c r="X253" s="278" t="s">
        <v>242</v>
      </c>
      <c r="Y253" s="289">
        <f t="shared" ca="1" si="46"/>
        <v>1</v>
      </c>
      <c r="Z253" s="271">
        <v>3</v>
      </c>
      <c r="AA253" s="277">
        <f t="shared" ca="1" si="40"/>
        <v>0</v>
      </c>
      <c r="AB253" s="279" t="str">
        <f t="shared" ca="1" si="44"/>
        <v>1-3-0</v>
      </c>
    </row>
    <row r="254" spans="1:28" x14ac:dyDescent="0.25">
      <c r="A254" s="281" t="s">
        <v>72</v>
      </c>
      <c r="B254" s="281" t="s">
        <v>91</v>
      </c>
      <c r="C254" s="281" t="s">
        <v>243</v>
      </c>
      <c r="D254" s="281" t="s">
        <v>29</v>
      </c>
      <c r="E254" s="281">
        <v>3</v>
      </c>
      <c r="F254" s="222" t="str">
        <f t="shared" si="41"/>
        <v>SITUATION-33</v>
      </c>
      <c r="G254" s="222">
        <f t="shared" si="39"/>
        <v>5</v>
      </c>
      <c r="H254" s="284">
        <f t="shared" ca="1" si="42"/>
        <v>0</v>
      </c>
      <c r="I254" s="284">
        <f t="shared" ca="1" si="43"/>
        <v>0</v>
      </c>
      <c r="J254" s="287" t="s">
        <v>243</v>
      </c>
      <c r="W254" s="278" t="str">
        <f ca="1">AB254&amp;"-"&amp;COUNTIF($AB$2:$AB254,$AB254)</f>
        <v>1-3-0-28</v>
      </c>
      <c r="X254" s="278" t="s">
        <v>243</v>
      </c>
      <c r="Y254" s="289">
        <f t="shared" ca="1" si="46"/>
        <v>1</v>
      </c>
      <c r="Z254" s="271">
        <v>3</v>
      </c>
      <c r="AA254" s="277">
        <f t="shared" ca="1" si="40"/>
        <v>0</v>
      </c>
      <c r="AB254" s="279" t="str">
        <f t="shared" ca="1" si="44"/>
        <v>1-3-0</v>
      </c>
    </row>
    <row r="255" spans="1:28" x14ac:dyDescent="0.25">
      <c r="A255" s="281" t="s">
        <v>72</v>
      </c>
      <c r="B255" s="281" t="s">
        <v>91</v>
      </c>
      <c r="C255" s="281" t="s">
        <v>244</v>
      </c>
      <c r="D255" s="281" t="s">
        <v>30</v>
      </c>
      <c r="E255" s="281">
        <v>3</v>
      </c>
      <c r="F255" s="222" t="str">
        <f t="shared" si="41"/>
        <v>SITUATION-33</v>
      </c>
      <c r="G255" s="222">
        <f t="shared" si="39"/>
        <v>5</v>
      </c>
      <c r="H255" s="284">
        <f t="shared" ca="1" si="42"/>
        <v>0</v>
      </c>
      <c r="I255" s="284">
        <f t="shared" ca="1" si="43"/>
        <v>0</v>
      </c>
      <c r="J255" s="287" t="s">
        <v>244</v>
      </c>
      <c r="W255" s="278" t="str">
        <f ca="1">AB255&amp;"-"&amp;COUNTIF($AB$2:$AB255,$AB255)</f>
        <v>1-3-0-29</v>
      </c>
      <c r="X255" s="278" t="s">
        <v>244</v>
      </c>
      <c r="Y255" s="289">
        <f t="shared" ca="1" si="46"/>
        <v>1</v>
      </c>
      <c r="Z255" s="271">
        <v>3</v>
      </c>
      <c r="AA255" s="277">
        <f t="shared" ca="1" si="40"/>
        <v>0</v>
      </c>
      <c r="AB255" s="279" t="str">
        <f t="shared" ca="1" si="44"/>
        <v>1-3-0</v>
      </c>
    </row>
    <row r="256" spans="1:28" x14ac:dyDescent="0.25">
      <c r="A256" s="281" t="s">
        <v>72</v>
      </c>
      <c r="B256" s="281" t="s">
        <v>91</v>
      </c>
      <c r="C256" s="281" t="s">
        <v>245</v>
      </c>
      <c r="D256" s="281" t="s">
        <v>31</v>
      </c>
      <c r="E256" s="281">
        <v>3</v>
      </c>
      <c r="F256" s="222" t="str">
        <f t="shared" si="41"/>
        <v>SITUATION-33</v>
      </c>
      <c r="G256" s="222">
        <f t="shared" si="39"/>
        <v>5</v>
      </c>
      <c r="H256" s="284">
        <f t="shared" ca="1" si="42"/>
        <v>0</v>
      </c>
      <c r="I256" s="284">
        <f t="shared" ca="1" si="43"/>
        <v>0</v>
      </c>
      <c r="J256" s="287" t="s">
        <v>245</v>
      </c>
      <c r="W256" s="278" t="str">
        <f ca="1">AB256&amp;"-"&amp;COUNTIF($AB$2:$AB256,$AB256)</f>
        <v>1-3-0-30</v>
      </c>
      <c r="X256" s="278" t="s">
        <v>245</v>
      </c>
      <c r="Y256" s="289">
        <f t="shared" ca="1" si="46"/>
        <v>1</v>
      </c>
      <c r="Z256" s="271">
        <v>3</v>
      </c>
      <c r="AA256" s="277">
        <f t="shared" ca="1" si="40"/>
        <v>0</v>
      </c>
      <c r="AB256" s="279" t="str">
        <f t="shared" ca="1" si="44"/>
        <v>1-3-0</v>
      </c>
    </row>
    <row r="257" spans="1:28" x14ac:dyDescent="0.25">
      <c r="A257" s="281" t="s">
        <v>72</v>
      </c>
      <c r="B257" s="281" t="s">
        <v>91</v>
      </c>
      <c r="C257" s="281" t="s">
        <v>246</v>
      </c>
      <c r="D257" s="281" t="s">
        <v>247</v>
      </c>
      <c r="E257" s="281">
        <v>3</v>
      </c>
      <c r="F257" s="222" t="str">
        <f t="shared" si="41"/>
        <v>SITUATION-33</v>
      </c>
      <c r="G257" s="222">
        <f t="shared" si="39"/>
        <v>5</v>
      </c>
      <c r="H257" s="284">
        <f t="shared" ca="1" si="42"/>
        <v>0</v>
      </c>
      <c r="I257" s="284">
        <f t="shared" ca="1" si="43"/>
        <v>0</v>
      </c>
      <c r="J257" s="287" t="s">
        <v>246</v>
      </c>
      <c r="W257" s="278" t="str">
        <f ca="1">AB257&amp;"-"&amp;COUNTIF($AB$2:$AB257,$AB257)</f>
        <v>1-3-0-31</v>
      </c>
      <c r="X257" s="278" t="s">
        <v>246</v>
      </c>
      <c r="Y257" s="289">
        <f t="shared" ca="1" si="46"/>
        <v>1</v>
      </c>
      <c r="Z257" s="271">
        <v>3</v>
      </c>
      <c r="AA257" s="277">
        <f t="shared" ca="1" si="40"/>
        <v>0</v>
      </c>
      <c r="AB257" s="279" t="str">
        <f t="shared" ca="1" si="44"/>
        <v>1-3-0</v>
      </c>
    </row>
    <row r="258" spans="1:28" x14ac:dyDescent="0.25">
      <c r="A258" s="281" t="s">
        <v>72</v>
      </c>
      <c r="B258" s="281" t="s">
        <v>93</v>
      </c>
      <c r="C258" s="281" t="s">
        <v>248</v>
      </c>
      <c r="D258" s="281" t="s">
        <v>126</v>
      </c>
      <c r="E258" s="281">
        <v>2</v>
      </c>
      <c r="F258" s="222" t="str">
        <f t="shared" si="41"/>
        <v>SITUATION-42</v>
      </c>
      <c r="G258" s="222">
        <f t="shared" ref="G258:G326" si="47">COUNTIF($F:$F,$F258)</f>
        <v>4</v>
      </c>
      <c r="H258" s="284">
        <f t="shared" ca="1" si="42"/>
        <v>0</v>
      </c>
      <c r="I258" s="284">
        <f t="shared" ca="1" si="43"/>
        <v>0</v>
      </c>
      <c r="J258" s="287" t="s">
        <v>248</v>
      </c>
      <c r="W258" s="278" t="str">
        <f ca="1">AB258&amp;"-"&amp;COUNTIF($AB$2:$AB258,$AB258)</f>
        <v>1-2-0-36</v>
      </c>
      <c r="X258" s="278" t="s">
        <v>248</v>
      </c>
      <c r="Y258" s="289">
        <f t="shared" ca="1" si="46"/>
        <v>1</v>
      </c>
      <c r="Z258" s="271">
        <v>2</v>
      </c>
      <c r="AA258" s="277">
        <f t="shared" ref="AA258:AA326" ca="1" si="48">VLOOKUP(X258,C:I,7,FALSE)</f>
        <v>0</v>
      </c>
      <c r="AB258" s="279" t="str">
        <f t="shared" ca="1" si="44"/>
        <v>1-2-0</v>
      </c>
    </row>
    <row r="259" spans="1:28" x14ac:dyDescent="0.25">
      <c r="A259" s="281" t="s">
        <v>72</v>
      </c>
      <c r="B259" s="281" t="s">
        <v>93</v>
      </c>
      <c r="C259" s="281" t="s">
        <v>249</v>
      </c>
      <c r="D259" s="281" t="s">
        <v>129</v>
      </c>
      <c r="E259" s="281">
        <v>2</v>
      </c>
      <c r="F259" s="222" t="str">
        <f t="shared" ref="F259:F326" si="49">CONCATENATE($B259,$E259)</f>
        <v>SITUATION-42</v>
      </c>
      <c r="G259" s="222">
        <f t="shared" si="47"/>
        <v>4</v>
      </c>
      <c r="H259" s="284">
        <f t="shared" ref="H259:H326" ca="1" si="50">INT(LEFT(
VLOOKUP($D259, INDIRECT("'"&amp;$A259&amp;"'!"&amp;"$D:$H"), 5,FALSE), 1)
)</f>
        <v>0</v>
      </c>
      <c r="I259" s="284">
        <f t="shared" ref="I259:I322" ca="1" si="51">IFERROR(IF(H259&gt;2,1,0),0)</f>
        <v>0</v>
      </c>
      <c r="J259" s="287" t="s">
        <v>249</v>
      </c>
      <c r="W259" s="278" t="str">
        <f ca="1">AB259&amp;"-"&amp;COUNTIF($AB$2:$AB259,$AB259)</f>
        <v>1-2-0-37</v>
      </c>
      <c r="X259" s="278" t="s">
        <v>249</v>
      </c>
      <c r="Y259" s="289">
        <f t="shared" ca="1" si="46"/>
        <v>1</v>
      </c>
      <c r="Z259" s="271">
        <v>2</v>
      </c>
      <c r="AA259" s="277">
        <f t="shared" ca="1" si="48"/>
        <v>0</v>
      </c>
      <c r="AB259" s="279" t="str">
        <f t="shared" ca="1" si="44"/>
        <v>1-2-0</v>
      </c>
    </row>
    <row r="260" spans="1:28" x14ac:dyDescent="0.25">
      <c r="A260" s="281" t="s">
        <v>72</v>
      </c>
      <c r="B260" s="281" t="s">
        <v>93</v>
      </c>
      <c r="C260" s="281" t="s">
        <v>250</v>
      </c>
      <c r="D260" s="281" t="s">
        <v>132</v>
      </c>
      <c r="E260" s="281">
        <v>2</v>
      </c>
      <c r="F260" s="222" t="str">
        <f t="shared" si="49"/>
        <v>SITUATION-42</v>
      </c>
      <c r="G260" s="222">
        <f t="shared" si="47"/>
        <v>4</v>
      </c>
      <c r="H260" s="284">
        <f t="shared" ca="1" si="50"/>
        <v>0</v>
      </c>
      <c r="I260" s="284">
        <f t="shared" ca="1" si="51"/>
        <v>0</v>
      </c>
      <c r="J260" s="287" t="s">
        <v>250</v>
      </c>
      <c r="W260" s="278" t="str">
        <f ca="1">AB260&amp;"-"&amp;COUNTIF($AB$2:$AB260,$AB260)</f>
        <v>1-2-0-38</v>
      </c>
      <c r="X260" s="278" t="s">
        <v>250</v>
      </c>
      <c r="Y260" s="289">
        <f t="shared" ca="1" si="46"/>
        <v>1</v>
      </c>
      <c r="Z260" s="271">
        <v>2</v>
      </c>
      <c r="AA260" s="277">
        <f t="shared" ca="1" si="48"/>
        <v>0</v>
      </c>
      <c r="AB260" s="279" t="str">
        <f t="shared" ref="AB260:AB323" ca="1" si="52">Y260&amp;"-"&amp;Z260&amp;"-"&amp;AA260</f>
        <v>1-2-0</v>
      </c>
    </row>
    <row r="261" spans="1:28" x14ac:dyDescent="0.25">
      <c r="A261" s="281" t="s">
        <v>72</v>
      </c>
      <c r="B261" s="281" t="s">
        <v>93</v>
      </c>
      <c r="C261" s="281" t="s">
        <v>251</v>
      </c>
      <c r="D261" s="281" t="s">
        <v>135</v>
      </c>
      <c r="E261" s="281">
        <v>2</v>
      </c>
      <c r="F261" s="222" t="str">
        <f t="shared" si="49"/>
        <v>SITUATION-42</v>
      </c>
      <c r="G261" s="222">
        <f t="shared" si="47"/>
        <v>4</v>
      </c>
      <c r="H261" s="284">
        <f t="shared" ca="1" si="50"/>
        <v>0</v>
      </c>
      <c r="I261" s="284">
        <f t="shared" ca="1" si="51"/>
        <v>0</v>
      </c>
      <c r="J261" s="287" t="s">
        <v>251</v>
      </c>
      <c r="W261" s="278" t="str">
        <f ca="1">AB261&amp;"-"&amp;COUNTIF($AB$2:$AB261,$AB261)</f>
        <v>1-2-0-39</v>
      </c>
      <c r="X261" s="278" t="s">
        <v>251</v>
      </c>
      <c r="Y261" s="289">
        <f t="shared" ca="1" si="46"/>
        <v>1</v>
      </c>
      <c r="Z261" s="271">
        <v>2</v>
      </c>
      <c r="AA261" s="277">
        <f t="shared" ca="1" si="48"/>
        <v>0</v>
      </c>
      <c r="AB261" s="279" t="str">
        <f t="shared" ca="1" si="52"/>
        <v>1-2-0</v>
      </c>
    </row>
    <row r="262" spans="1:28" x14ac:dyDescent="0.25">
      <c r="A262" s="281" t="s">
        <v>72</v>
      </c>
      <c r="B262" s="281" t="s">
        <v>93</v>
      </c>
      <c r="C262" s="281" t="s">
        <v>252</v>
      </c>
      <c r="D262" s="281" t="s">
        <v>138</v>
      </c>
      <c r="E262" s="281">
        <v>3</v>
      </c>
      <c r="F262" s="222" t="str">
        <f t="shared" si="49"/>
        <v>SITUATION-43</v>
      </c>
      <c r="G262" s="222">
        <f t="shared" si="47"/>
        <v>3</v>
      </c>
      <c r="H262" s="284">
        <f t="shared" ca="1" si="50"/>
        <v>0</v>
      </c>
      <c r="I262" s="284">
        <f t="shared" ca="1" si="51"/>
        <v>0</v>
      </c>
      <c r="J262" s="287" t="s">
        <v>252</v>
      </c>
      <c r="W262" s="278" t="str">
        <f ca="1">AB262&amp;"-"&amp;COUNTIF($AB$2:$AB262,$AB262)</f>
        <v>1-3-0-32</v>
      </c>
      <c r="X262" s="278" t="s">
        <v>252</v>
      </c>
      <c r="Y262" s="289">
        <f t="shared" ca="1" si="46"/>
        <v>1</v>
      </c>
      <c r="Z262" s="271">
        <v>3</v>
      </c>
      <c r="AA262" s="277">
        <f t="shared" ca="1" si="48"/>
        <v>0</v>
      </c>
      <c r="AB262" s="279" t="str">
        <f t="shared" ca="1" si="52"/>
        <v>1-3-0</v>
      </c>
    </row>
    <row r="263" spans="1:28" x14ac:dyDescent="0.25">
      <c r="A263" s="281" t="s">
        <v>72</v>
      </c>
      <c r="B263" s="281" t="s">
        <v>93</v>
      </c>
      <c r="C263" s="281" t="s">
        <v>253</v>
      </c>
      <c r="D263" s="281" t="s">
        <v>140</v>
      </c>
      <c r="E263" s="281">
        <v>3</v>
      </c>
      <c r="F263" s="222" t="str">
        <f t="shared" si="49"/>
        <v>SITUATION-43</v>
      </c>
      <c r="G263" s="222">
        <f t="shared" si="47"/>
        <v>3</v>
      </c>
      <c r="H263" s="284">
        <f t="shared" ca="1" si="50"/>
        <v>0</v>
      </c>
      <c r="I263" s="284">
        <f t="shared" ca="1" si="51"/>
        <v>0</v>
      </c>
      <c r="J263" s="287" t="s">
        <v>253</v>
      </c>
      <c r="W263" s="278" t="str">
        <f ca="1">AB263&amp;"-"&amp;COUNTIF($AB$2:$AB263,$AB263)</f>
        <v>1-3-0-33</v>
      </c>
      <c r="X263" s="278" t="s">
        <v>253</v>
      </c>
      <c r="Y263" s="289">
        <f t="shared" ca="1" si="46"/>
        <v>1</v>
      </c>
      <c r="Z263" s="271">
        <v>3</v>
      </c>
      <c r="AA263" s="277">
        <f t="shared" ca="1" si="48"/>
        <v>0</v>
      </c>
      <c r="AB263" s="279" t="str">
        <f t="shared" ca="1" si="52"/>
        <v>1-3-0</v>
      </c>
    </row>
    <row r="264" spans="1:28" x14ac:dyDescent="0.25">
      <c r="A264" s="281" t="s">
        <v>72</v>
      </c>
      <c r="B264" s="281" t="s">
        <v>93</v>
      </c>
      <c r="C264" s="281" t="s">
        <v>254</v>
      </c>
      <c r="D264" s="281" t="s">
        <v>255</v>
      </c>
      <c r="E264" s="281">
        <v>3</v>
      </c>
      <c r="F264" s="222" t="str">
        <f t="shared" si="49"/>
        <v>SITUATION-43</v>
      </c>
      <c r="G264" s="222">
        <f t="shared" si="47"/>
        <v>3</v>
      </c>
      <c r="H264" s="284">
        <f t="shared" ca="1" si="50"/>
        <v>0</v>
      </c>
      <c r="I264" s="284">
        <f t="shared" ca="1" si="51"/>
        <v>0</v>
      </c>
      <c r="J264" s="287" t="s">
        <v>254</v>
      </c>
      <c r="W264" s="278" t="str">
        <f ca="1">AB264&amp;"-"&amp;COUNTIF($AB$2:$AB264,$AB264)</f>
        <v>1-3-0-34</v>
      </c>
      <c r="X264" s="278" t="s">
        <v>254</v>
      </c>
      <c r="Y264" s="289">
        <f t="shared" ca="1" si="46"/>
        <v>1</v>
      </c>
      <c r="Z264" s="271">
        <v>3</v>
      </c>
      <c r="AA264" s="277">
        <f t="shared" ca="1" si="48"/>
        <v>0</v>
      </c>
      <c r="AB264" s="279" t="str">
        <f t="shared" ca="1" si="52"/>
        <v>1-3-0</v>
      </c>
    </row>
    <row r="265" spans="1:28" x14ac:dyDescent="0.25">
      <c r="A265" s="281" t="s">
        <v>69</v>
      </c>
      <c r="B265" s="281" t="s">
        <v>76</v>
      </c>
      <c r="C265" s="281" t="s">
        <v>186</v>
      </c>
      <c r="D265" s="281" t="s">
        <v>7</v>
      </c>
      <c r="E265" s="281">
        <v>1</v>
      </c>
      <c r="F265" s="222" t="str">
        <f t="shared" si="49"/>
        <v>THREAT-11</v>
      </c>
      <c r="G265" s="222">
        <f t="shared" si="47"/>
        <v>3</v>
      </c>
      <c r="H265" s="284">
        <f t="shared" ca="1" si="50"/>
        <v>0</v>
      </c>
      <c r="I265" s="284">
        <f t="shared" ca="1" si="51"/>
        <v>0</v>
      </c>
      <c r="J265" s="287" t="s">
        <v>186</v>
      </c>
      <c r="W265" s="278" t="str">
        <f ca="1">AB265&amp;"-"&amp;COUNTIF($AB$2:$AB265,$AB265)</f>
        <v>0-1-0-47</v>
      </c>
      <c r="X265" s="278" t="s">
        <v>186</v>
      </c>
      <c r="Y265" s="289">
        <f t="shared" ca="1" si="46"/>
        <v>0</v>
      </c>
      <c r="Z265" s="271">
        <v>1</v>
      </c>
      <c r="AA265" s="277">
        <f t="shared" ca="1" si="48"/>
        <v>0</v>
      </c>
      <c r="AB265" s="279" t="str">
        <f t="shared" ca="1" si="52"/>
        <v>0-1-0</v>
      </c>
    </row>
    <row r="266" spans="1:28" x14ac:dyDescent="0.25">
      <c r="A266" s="281" t="s">
        <v>69</v>
      </c>
      <c r="B266" s="281" t="s">
        <v>76</v>
      </c>
      <c r="C266" s="281" t="s">
        <v>187</v>
      </c>
      <c r="D266" s="281" t="s">
        <v>9</v>
      </c>
      <c r="E266" s="281">
        <v>1</v>
      </c>
      <c r="F266" s="222" t="str">
        <f t="shared" si="49"/>
        <v>THREAT-11</v>
      </c>
      <c r="G266" s="222">
        <f t="shared" si="47"/>
        <v>3</v>
      </c>
      <c r="H266" s="284">
        <f t="shared" ca="1" si="50"/>
        <v>0</v>
      </c>
      <c r="I266" s="284">
        <f t="shared" ca="1" si="51"/>
        <v>0</v>
      </c>
      <c r="J266" s="287" t="s">
        <v>187</v>
      </c>
      <c r="W266" s="278" t="str">
        <f ca="1">AB266&amp;"-"&amp;COUNTIF($AB$2:$AB266,$AB266)</f>
        <v>0-1-0-48</v>
      </c>
      <c r="X266" s="278" t="s">
        <v>187</v>
      </c>
      <c r="Y266" s="289">
        <f t="shared" ca="1" si="46"/>
        <v>0</v>
      </c>
      <c r="Z266" s="271">
        <v>1</v>
      </c>
      <c r="AA266" s="277">
        <f t="shared" ca="1" si="48"/>
        <v>0</v>
      </c>
      <c r="AB266" s="279" t="str">
        <f t="shared" ca="1" si="52"/>
        <v>0-1-0</v>
      </c>
    </row>
    <row r="267" spans="1:28" x14ac:dyDescent="0.25">
      <c r="A267" s="281" t="s">
        <v>69</v>
      </c>
      <c r="B267" s="281" t="s">
        <v>76</v>
      </c>
      <c r="C267" s="281" t="s">
        <v>188</v>
      </c>
      <c r="D267" s="281" t="s">
        <v>10</v>
      </c>
      <c r="E267" s="281">
        <v>1</v>
      </c>
      <c r="F267" s="222" t="str">
        <f t="shared" si="49"/>
        <v>THREAT-11</v>
      </c>
      <c r="G267" s="222">
        <f t="shared" si="47"/>
        <v>3</v>
      </c>
      <c r="H267" s="284">
        <f t="shared" ca="1" si="50"/>
        <v>0</v>
      </c>
      <c r="I267" s="284">
        <f t="shared" ca="1" si="51"/>
        <v>0</v>
      </c>
      <c r="J267" s="287" t="s">
        <v>188</v>
      </c>
      <c r="W267" s="278" t="str">
        <f ca="1">AB267&amp;"-"&amp;COUNTIF($AB$2:$AB267,$AB267)</f>
        <v>0-1-0-49</v>
      </c>
      <c r="X267" s="278" t="s">
        <v>188</v>
      </c>
      <c r="Y267" s="289">
        <f t="shared" ca="1" si="46"/>
        <v>0</v>
      </c>
      <c r="Z267" s="271">
        <v>1</v>
      </c>
      <c r="AA267" s="277">
        <f t="shared" ca="1" si="48"/>
        <v>0</v>
      </c>
      <c r="AB267" s="279" t="str">
        <f t="shared" ca="1" si="52"/>
        <v>0-1-0</v>
      </c>
    </row>
    <row r="268" spans="1:28" x14ac:dyDescent="0.25">
      <c r="A268" s="281" t="s">
        <v>69</v>
      </c>
      <c r="B268" s="281" t="s">
        <v>76</v>
      </c>
      <c r="C268" s="281" t="s">
        <v>189</v>
      </c>
      <c r="D268" s="281" t="s">
        <v>11</v>
      </c>
      <c r="E268" s="281">
        <v>2</v>
      </c>
      <c r="F268" s="222" t="str">
        <f t="shared" si="49"/>
        <v>THREAT-12</v>
      </c>
      <c r="G268" s="222">
        <f t="shared" si="47"/>
        <v>4</v>
      </c>
      <c r="H268" s="284">
        <f t="shared" ca="1" si="50"/>
        <v>0</v>
      </c>
      <c r="I268" s="284">
        <f t="shared" ca="1" si="51"/>
        <v>0</v>
      </c>
      <c r="J268" s="287" t="s">
        <v>189</v>
      </c>
      <c r="W268" s="278" t="str">
        <f ca="1">AB268&amp;"-"&amp;COUNTIF($AB$2:$AB268,$AB268)</f>
        <v>0-2-0-84</v>
      </c>
      <c r="X268" s="278" t="s">
        <v>189</v>
      </c>
      <c r="Y268" s="289">
        <f t="shared" ca="1" si="46"/>
        <v>0</v>
      </c>
      <c r="Z268" s="271">
        <v>2</v>
      </c>
      <c r="AA268" s="277">
        <f t="shared" ca="1" si="48"/>
        <v>0</v>
      </c>
      <c r="AB268" s="279" t="str">
        <f t="shared" ca="1" si="52"/>
        <v>0-2-0</v>
      </c>
    </row>
    <row r="269" spans="1:28" x14ac:dyDescent="0.25">
      <c r="A269" s="281" t="s">
        <v>69</v>
      </c>
      <c r="B269" s="281" t="s">
        <v>76</v>
      </c>
      <c r="C269" s="281" t="s">
        <v>190</v>
      </c>
      <c r="D269" s="281" t="s">
        <v>12</v>
      </c>
      <c r="E269" s="281">
        <v>2</v>
      </c>
      <c r="F269" s="222" t="str">
        <f t="shared" si="49"/>
        <v>THREAT-12</v>
      </c>
      <c r="G269" s="222">
        <f t="shared" si="47"/>
        <v>4</v>
      </c>
      <c r="H269" s="284">
        <f t="shared" ca="1" si="50"/>
        <v>0</v>
      </c>
      <c r="I269" s="284">
        <f t="shared" ca="1" si="51"/>
        <v>0</v>
      </c>
      <c r="J269" s="287" t="s">
        <v>190</v>
      </c>
      <c r="W269" s="278" t="str">
        <f ca="1">AB269&amp;"-"&amp;COUNTIF($AB$2:$AB269,$AB269)</f>
        <v>0-2-0-85</v>
      </c>
      <c r="X269" s="278" t="s">
        <v>190</v>
      </c>
      <c r="Y269" s="289">
        <f t="shared" ca="1" si="46"/>
        <v>0</v>
      </c>
      <c r="Z269" s="271">
        <v>2</v>
      </c>
      <c r="AA269" s="277">
        <f t="shared" ca="1" si="48"/>
        <v>0</v>
      </c>
      <c r="AB269" s="279" t="str">
        <f t="shared" ca="1" si="52"/>
        <v>0-2-0</v>
      </c>
    </row>
    <row r="270" spans="1:28" x14ac:dyDescent="0.25">
      <c r="A270" s="281" t="s">
        <v>69</v>
      </c>
      <c r="B270" s="281" t="s">
        <v>76</v>
      </c>
      <c r="C270" s="281" t="s">
        <v>191</v>
      </c>
      <c r="D270" s="281" t="s">
        <v>13</v>
      </c>
      <c r="E270" s="281">
        <v>2</v>
      </c>
      <c r="F270" s="222" t="str">
        <f t="shared" si="49"/>
        <v>THREAT-12</v>
      </c>
      <c r="G270" s="222">
        <f t="shared" si="47"/>
        <v>4</v>
      </c>
      <c r="H270" s="284">
        <f t="shared" ca="1" si="50"/>
        <v>0</v>
      </c>
      <c r="I270" s="284">
        <f t="shared" ca="1" si="51"/>
        <v>0</v>
      </c>
      <c r="J270" s="287" t="s">
        <v>191</v>
      </c>
      <c r="W270" s="278" t="str">
        <f ca="1">AB270&amp;"-"&amp;COUNTIF($AB$2:$AB270,$AB270)</f>
        <v>0-2-0-86</v>
      </c>
      <c r="X270" s="278" t="s">
        <v>191</v>
      </c>
      <c r="Y270" s="289">
        <f t="shared" ca="1" si="46"/>
        <v>0</v>
      </c>
      <c r="Z270" s="271">
        <v>2</v>
      </c>
      <c r="AA270" s="277">
        <f t="shared" ca="1" si="48"/>
        <v>0</v>
      </c>
      <c r="AB270" s="279" t="str">
        <f t="shared" ca="1" si="52"/>
        <v>0-2-0</v>
      </c>
    </row>
    <row r="271" spans="1:28" x14ac:dyDescent="0.25">
      <c r="A271" s="281" t="s">
        <v>69</v>
      </c>
      <c r="B271" s="281" t="s">
        <v>76</v>
      </c>
      <c r="C271" s="281" t="s">
        <v>192</v>
      </c>
      <c r="D271" s="281" t="s">
        <v>14</v>
      </c>
      <c r="E271" s="281">
        <v>2</v>
      </c>
      <c r="F271" s="222" t="str">
        <f t="shared" si="49"/>
        <v>THREAT-12</v>
      </c>
      <c r="G271" s="222">
        <f t="shared" si="47"/>
        <v>4</v>
      </c>
      <c r="H271" s="284">
        <f t="shared" ca="1" si="50"/>
        <v>0</v>
      </c>
      <c r="I271" s="284">
        <f t="shared" ca="1" si="51"/>
        <v>0</v>
      </c>
      <c r="J271" s="287" t="s">
        <v>192</v>
      </c>
      <c r="W271" s="278" t="str">
        <f ca="1">AB271&amp;"-"&amp;COUNTIF($AB$2:$AB271,$AB271)</f>
        <v>0-2-0-87</v>
      </c>
      <c r="X271" s="278" t="s">
        <v>192</v>
      </c>
      <c r="Y271" s="289">
        <f t="shared" ca="1" si="46"/>
        <v>0</v>
      </c>
      <c r="Z271" s="271">
        <v>2</v>
      </c>
      <c r="AA271" s="277">
        <f t="shared" ca="1" si="48"/>
        <v>0</v>
      </c>
      <c r="AB271" s="279" t="str">
        <f t="shared" ca="1" si="52"/>
        <v>0-2-0</v>
      </c>
    </row>
    <row r="272" spans="1:28" x14ac:dyDescent="0.25">
      <c r="A272" s="281" t="s">
        <v>69</v>
      </c>
      <c r="B272" s="281" t="s">
        <v>76</v>
      </c>
      <c r="C272" s="281" t="s">
        <v>193</v>
      </c>
      <c r="D272" s="281" t="s">
        <v>15</v>
      </c>
      <c r="E272" s="281">
        <v>3</v>
      </c>
      <c r="F272" s="222" t="str">
        <f t="shared" si="49"/>
        <v>THREAT-13</v>
      </c>
      <c r="G272" s="222">
        <f t="shared" si="47"/>
        <v>5</v>
      </c>
      <c r="H272" s="284">
        <f t="shared" ca="1" si="50"/>
        <v>0</v>
      </c>
      <c r="I272" s="284">
        <f t="shared" ca="1" si="51"/>
        <v>0</v>
      </c>
      <c r="J272" s="287" t="s">
        <v>193</v>
      </c>
      <c r="W272" s="278" t="str">
        <f ca="1">AB272&amp;"-"&amp;COUNTIF($AB$2:$AB272,$AB272)</f>
        <v>0-3-0-62</v>
      </c>
      <c r="X272" s="278" t="s">
        <v>193</v>
      </c>
      <c r="Y272" s="289">
        <f t="shared" ca="1" si="46"/>
        <v>0</v>
      </c>
      <c r="Z272" s="271">
        <v>3</v>
      </c>
      <c r="AA272" s="277">
        <f t="shared" ca="1" si="48"/>
        <v>0</v>
      </c>
      <c r="AB272" s="279" t="str">
        <f t="shared" ca="1" si="52"/>
        <v>0-3-0</v>
      </c>
    </row>
    <row r="273" spans="1:28" x14ac:dyDescent="0.25">
      <c r="A273" s="281" t="s">
        <v>69</v>
      </c>
      <c r="B273" s="281" t="s">
        <v>76</v>
      </c>
      <c r="C273" s="281" t="s">
        <v>194</v>
      </c>
      <c r="D273" s="281" t="s">
        <v>16</v>
      </c>
      <c r="E273" s="281">
        <v>3</v>
      </c>
      <c r="F273" s="222" t="str">
        <f t="shared" si="49"/>
        <v>THREAT-13</v>
      </c>
      <c r="G273" s="222">
        <f t="shared" si="47"/>
        <v>5</v>
      </c>
      <c r="H273" s="284">
        <f t="shared" ca="1" si="50"/>
        <v>0</v>
      </c>
      <c r="I273" s="284">
        <f t="shared" ca="1" si="51"/>
        <v>0</v>
      </c>
      <c r="J273" s="287" t="s">
        <v>194</v>
      </c>
      <c r="W273" s="278" t="str">
        <f ca="1">AB273&amp;"-"&amp;COUNTIF($AB$2:$AB273,$AB273)</f>
        <v>0-3-0-63</v>
      </c>
      <c r="X273" s="278" t="s">
        <v>194</v>
      </c>
      <c r="Y273" s="289">
        <f t="shared" ca="1" si="46"/>
        <v>0</v>
      </c>
      <c r="Z273" s="271">
        <v>3</v>
      </c>
      <c r="AA273" s="277">
        <f t="shared" ca="1" si="48"/>
        <v>0</v>
      </c>
      <c r="AB273" s="279" t="str">
        <f t="shared" ca="1" si="52"/>
        <v>0-3-0</v>
      </c>
    </row>
    <row r="274" spans="1:28" x14ac:dyDescent="0.25">
      <c r="A274" s="281" t="s">
        <v>69</v>
      </c>
      <c r="B274" s="281" t="s">
        <v>76</v>
      </c>
      <c r="C274" s="281" t="s">
        <v>195</v>
      </c>
      <c r="D274" s="281" t="s">
        <v>18</v>
      </c>
      <c r="E274" s="281">
        <v>3</v>
      </c>
      <c r="F274" s="222" t="str">
        <f t="shared" si="49"/>
        <v>THREAT-13</v>
      </c>
      <c r="G274" s="222">
        <f t="shared" si="47"/>
        <v>5</v>
      </c>
      <c r="H274" s="284">
        <f t="shared" ca="1" si="50"/>
        <v>0</v>
      </c>
      <c r="I274" s="284">
        <f t="shared" ca="1" si="51"/>
        <v>0</v>
      </c>
      <c r="J274" s="287" t="s">
        <v>195</v>
      </c>
      <c r="W274" s="278" t="str">
        <f ca="1">AB274&amp;"-"&amp;COUNTIF($AB$2:$AB274,$AB274)</f>
        <v>0-3-0-64</v>
      </c>
      <c r="X274" s="278" t="s">
        <v>195</v>
      </c>
      <c r="Y274" s="289">
        <f t="shared" ca="1" si="46"/>
        <v>0</v>
      </c>
      <c r="Z274" s="271">
        <v>3</v>
      </c>
      <c r="AA274" s="277">
        <f t="shared" ca="1" si="48"/>
        <v>0</v>
      </c>
      <c r="AB274" s="279" t="str">
        <f t="shared" ca="1" si="52"/>
        <v>0-3-0</v>
      </c>
    </row>
    <row r="275" spans="1:28" x14ac:dyDescent="0.25">
      <c r="A275" s="281" t="s">
        <v>69</v>
      </c>
      <c r="B275" s="281" t="s">
        <v>76</v>
      </c>
      <c r="C275" s="281" t="s">
        <v>196</v>
      </c>
      <c r="D275" s="281" t="s">
        <v>197</v>
      </c>
      <c r="E275" s="281">
        <v>3</v>
      </c>
      <c r="F275" s="222" t="str">
        <f t="shared" si="49"/>
        <v>THREAT-13</v>
      </c>
      <c r="G275" s="222">
        <f t="shared" si="47"/>
        <v>5</v>
      </c>
      <c r="H275" s="284">
        <f t="shared" ca="1" si="50"/>
        <v>0</v>
      </c>
      <c r="I275" s="284">
        <f t="shared" ca="1" si="51"/>
        <v>0</v>
      </c>
      <c r="J275" s="287" t="s">
        <v>196</v>
      </c>
      <c r="W275" s="278" t="str">
        <f ca="1">AB275&amp;"-"&amp;COUNTIF($AB$2:$AB275,$AB275)</f>
        <v>0-3-0-65</v>
      </c>
      <c r="X275" s="278" t="s">
        <v>196</v>
      </c>
      <c r="Y275" s="289">
        <f t="shared" ca="1" si="46"/>
        <v>0</v>
      </c>
      <c r="Z275" s="271">
        <v>3</v>
      </c>
      <c r="AA275" s="277">
        <f t="shared" ca="1" si="48"/>
        <v>0</v>
      </c>
      <c r="AB275" s="279" t="str">
        <f t="shared" ca="1" si="52"/>
        <v>0-3-0</v>
      </c>
    </row>
    <row r="276" spans="1:28" x14ac:dyDescent="0.25">
      <c r="A276" s="281" t="s">
        <v>69</v>
      </c>
      <c r="B276" s="281" t="s">
        <v>76</v>
      </c>
      <c r="C276" s="281" t="s">
        <v>198</v>
      </c>
      <c r="D276" s="281" t="s">
        <v>199</v>
      </c>
      <c r="E276" s="281">
        <v>3</v>
      </c>
      <c r="F276" s="222" t="str">
        <f t="shared" si="49"/>
        <v>THREAT-13</v>
      </c>
      <c r="G276" s="222">
        <f t="shared" si="47"/>
        <v>5</v>
      </c>
      <c r="H276" s="284">
        <f t="shared" ca="1" si="50"/>
        <v>0</v>
      </c>
      <c r="I276" s="284">
        <f t="shared" ca="1" si="51"/>
        <v>0</v>
      </c>
      <c r="J276" s="287" t="s">
        <v>198</v>
      </c>
      <c r="W276" s="278" t="str">
        <f ca="1">AB276&amp;"-"&amp;COUNTIF($AB$2:$AB276,$AB276)</f>
        <v>0-3-0-66</v>
      </c>
      <c r="X276" s="278" t="s">
        <v>198</v>
      </c>
      <c r="Y276" s="289">
        <f t="shared" ca="1" si="46"/>
        <v>0</v>
      </c>
      <c r="Z276" s="271">
        <v>3</v>
      </c>
      <c r="AA276" s="277">
        <f t="shared" ca="1" si="48"/>
        <v>0</v>
      </c>
      <c r="AB276" s="279" t="str">
        <f t="shared" ca="1" si="52"/>
        <v>0-3-0</v>
      </c>
    </row>
    <row r="277" spans="1:28" x14ac:dyDescent="0.25">
      <c r="A277" s="281" t="s">
        <v>69</v>
      </c>
      <c r="B277" s="281" t="s">
        <v>79</v>
      </c>
      <c r="C277" s="281" t="s">
        <v>200</v>
      </c>
      <c r="D277" s="281" t="s">
        <v>20</v>
      </c>
      <c r="E277" s="281">
        <v>1</v>
      </c>
      <c r="F277" s="222" t="str">
        <f t="shared" si="49"/>
        <v>THREAT-21</v>
      </c>
      <c r="G277" s="222">
        <f t="shared" si="47"/>
        <v>4</v>
      </c>
      <c r="H277" s="284">
        <f t="shared" ca="1" si="50"/>
        <v>0</v>
      </c>
      <c r="I277" s="284">
        <f t="shared" ca="1" si="51"/>
        <v>0</v>
      </c>
      <c r="J277" s="287" t="s">
        <v>200</v>
      </c>
      <c r="W277" s="278" t="str">
        <f ca="1">AB277&amp;"-"&amp;COUNTIF($AB$2:$AB277,$AB277)</f>
        <v>0-1-0-50</v>
      </c>
      <c r="X277" s="278" t="s">
        <v>200</v>
      </c>
      <c r="Y277" s="289">
        <f t="shared" ca="1" si="46"/>
        <v>0</v>
      </c>
      <c r="Z277" s="271">
        <v>1</v>
      </c>
      <c r="AA277" s="277">
        <f t="shared" ca="1" si="48"/>
        <v>0</v>
      </c>
      <c r="AB277" s="279" t="str">
        <f t="shared" ca="1" si="52"/>
        <v>0-1-0</v>
      </c>
    </row>
    <row r="278" spans="1:28" x14ac:dyDescent="0.25">
      <c r="A278" s="281" t="s">
        <v>69</v>
      </c>
      <c r="B278" s="281" t="s">
        <v>79</v>
      </c>
      <c r="C278" s="281" t="s">
        <v>201</v>
      </c>
      <c r="D278" s="281" t="s">
        <v>21</v>
      </c>
      <c r="E278" s="281">
        <v>1</v>
      </c>
      <c r="F278" s="222" t="str">
        <f t="shared" si="49"/>
        <v>THREAT-21</v>
      </c>
      <c r="G278" s="222">
        <f t="shared" si="47"/>
        <v>4</v>
      </c>
      <c r="H278" s="284">
        <f t="shared" ca="1" si="50"/>
        <v>0</v>
      </c>
      <c r="I278" s="284">
        <f t="shared" ca="1" si="51"/>
        <v>0</v>
      </c>
      <c r="J278" s="287" t="s">
        <v>201</v>
      </c>
      <c r="W278" s="278" t="str">
        <f ca="1">AB278&amp;"-"&amp;COUNTIF($AB$2:$AB278,$AB278)</f>
        <v>0-1-0-51</v>
      </c>
      <c r="X278" s="278" t="s">
        <v>201</v>
      </c>
      <c r="Y278" s="289">
        <f t="shared" ref="Y278:Y309" ca="1" si="53">VLOOKUP(LEFT($X278,LEN($X278)-1),$K:$O,5,FALSE)</f>
        <v>0</v>
      </c>
      <c r="Z278" s="271">
        <v>1</v>
      </c>
      <c r="AA278" s="277">
        <f t="shared" ca="1" si="48"/>
        <v>0</v>
      </c>
      <c r="AB278" s="279" t="str">
        <f t="shared" ca="1" si="52"/>
        <v>0-1-0</v>
      </c>
    </row>
    <row r="279" spans="1:28" x14ac:dyDescent="0.25">
      <c r="A279" s="281" t="s">
        <v>69</v>
      </c>
      <c r="B279" s="281" t="s">
        <v>79</v>
      </c>
      <c r="C279" s="281" t="s">
        <v>202</v>
      </c>
      <c r="D279" s="281" t="s">
        <v>22</v>
      </c>
      <c r="E279" s="281">
        <v>1</v>
      </c>
      <c r="F279" s="222" t="str">
        <f t="shared" si="49"/>
        <v>THREAT-21</v>
      </c>
      <c r="G279" s="222">
        <f t="shared" si="47"/>
        <v>4</v>
      </c>
      <c r="H279" s="284">
        <f t="shared" ca="1" si="50"/>
        <v>0</v>
      </c>
      <c r="I279" s="284">
        <f t="shared" ca="1" si="51"/>
        <v>0</v>
      </c>
      <c r="J279" s="287" t="s">
        <v>202</v>
      </c>
      <c r="W279" s="278" t="str">
        <f ca="1">AB279&amp;"-"&amp;COUNTIF($AB$2:$AB279,$AB279)</f>
        <v>0-1-0-52</v>
      </c>
      <c r="X279" s="278" t="s">
        <v>202</v>
      </c>
      <c r="Y279" s="289">
        <f t="shared" ca="1" si="53"/>
        <v>0</v>
      </c>
      <c r="Z279" s="271">
        <v>1</v>
      </c>
      <c r="AA279" s="277">
        <f t="shared" ca="1" si="48"/>
        <v>0</v>
      </c>
      <c r="AB279" s="279" t="str">
        <f t="shared" ca="1" si="52"/>
        <v>0-1-0</v>
      </c>
    </row>
    <row r="280" spans="1:28" x14ac:dyDescent="0.25">
      <c r="A280" s="281" t="s">
        <v>69</v>
      </c>
      <c r="B280" s="281" t="s">
        <v>79</v>
      </c>
      <c r="C280" s="281" t="s">
        <v>203</v>
      </c>
      <c r="D280" s="281" t="s">
        <v>23</v>
      </c>
      <c r="E280" s="281">
        <v>1</v>
      </c>
      <c r="F280" s="222" t="str">
        <f t="shared" si="49"/>
        <v>THREAT-21</v>
      </c>
      <c r="G280" s="222">
        <f t="shared" si="47"/>
        <v>4</v>
      </c>
      <c r="H280" s="284">
        <f t="shared" ca="1" si="50"/>
        <v>0</v>
      </c>
      <c r="I280" s="284">
        <f t="shared" ca="1" si="51"/>
        <v>0</v>
      </c>
      <c r="J280" s="287" t="s">
        <v>203</v>
      </c>
      <c r="W280" s="278" t="str">
        <f ca="1">AB280&amp;"-"&amp;COUNTIF($AB$2:$AB280,$AB280)</f>
        <v>0-1-0-53</v>
      </c>
      <c r="X280" s="278" t="s">
        <v>203</v>
      </c>
      <c r="Y280" s="289">
        <f t="shared" ca="1" si="53"/>
        <v>0</v>
      </c>
      <c r="Z280" s="271">
        <v>1</v>
      </c>
      <c r="AA280" s="277">
        <f t="shared" ca="1" si="48"/>
        <v>0</v>
      </c>
      <c r="AB280" s="279" t="str">
        <f t="shared" ca="1" si="52"/>
        <v>0-1-0</v>
      </c>
    </row>
    <row r="281" spans="1:28" x14ac:dyDescent="0.25">
      <c r="A281" s="281" t="s">
        <v>69</v>
      </c>
      <c r="B281" s="281" t="s">
        <v>79</v>
      </c>
      <c r="C281" s="281" t="s">
        <v>204</v>
      </c>
      <c r="D281" s="281" t="s">
        <v>24</v>
      </c>
      <c r="E281" s="281">
        <v>2</v>
      </c>
      <c r="F281" s="222" t="str">
        <f t="shared" si="49"/>
        <v>THREAT-22</v>
      </c>
      <c r="G281" s="222">
        <f t="shared" si="47"/>
        <v>5</v>
      </c>
      <c r="H281" s="284">
        <f t="shared" ca="1" si="50"/>
        <v>0</v>
      </c>
      <c r="I281" s="284">
        <f t="shared" ca="1" si="51"/>
        <v>0</v>
      </c>
      <c r="J281" s="287" t="s">
        <v>204</v>
      </c>
      <c r="W281" s="278" t="str">
        <f ca="1">AB281&amp;"-"&amp;COUNTIF($AB$2:$AB281,$AB281)</f>
        <v>0-2-0-88</v>
      </c>
      <c r="X281" s="278" t="s">
        <v>204</v>
      </c>
      <c r="Y281" s="289">
        <f t="shared" ca="1" si="53"/>
        <v>0</v>
      </c>
      <c r="Z281" s="271">
        <v>2</v>
      </c>
      <c r="AA281" s="277">
        <f t="shared" ca="1" si="48"/>
        <v>0</v>
      </c>
      <c r="AB281" s="279" t="str">
        <f t="shared" ca="1" si="52"/>
        <v>0-2-0</v>
      </c>
    </row>
    <row r="282" spans="1:28" x14ac:dyDescent="0.25">
      <c r="A282" s="281" t="s">
        <v>69</v>
      </c>
      <c r="B282" s="281" t="s">
        <v>79</v>
      </c>
      <c r="C282" s="281" t="s">
        <v>205</v>
      </c>
      <c r="D282" s="281" t="s">
        <v>112</v>
      </c>
      <c r="E282" s="281">
        <v>2</v>
      </c>
      <c r="F282" s="222" t="str">
        <f t="shared" si="49"/>
        <v>THREAT-22</v>
      </c>
      <c r="G282" s="222">
        <f t="shared" si="47"/>
        <v>5</v>
      </c>
      <c r="H282" s="284">
        <f t="shared" ca="1" si="50"/>
        <v>0</v>
      </c>
      <c r="I282" s="284">
        <f t="shared" ca="1" si="51"/>
        <v>0</v>
      </c>
      <c r="J282" s="287" t="s">
        <v>205</v>
      </c>
      <c r="W282" s="278" t="str">
        <f ca="1">AB282&amp;"-"&amp;COUNTIF($AB$2:$AB282,$AB282)</f>
        <v>0-2-0-89</v>
      </c>
      <c r="X282" s="278" t="s">
        <v>205</v>
      </c>
      <c r="Y282" s="289">
        <f t="shared" ca="1" si="53"/>
        <v>0</v>
      </c>
      <c r="Z282" s="271">
        <v>2</v>
      </c>
      <c r="AA282" s="277">
        <f t="shared" ca="1" si="48"/>
        <v>0</v>
      </c>
      <c r="AB282" s="279" t="str">
        <f t="shared" ca="1" si="52"/>
        <v>0-2-0</v>
      </c>
    </row>
    <row r="283" spans="1:28" x14ac:dyDescent="0.25">
      <c r="A283" s="281" t="s">
        <v>69</v>
      </c>
      <c r="B283" s="281" t="s">
        <v>79</v>
      </c>
      <c r="C283" s="281" t="s">
        <v>206</v>
      </c>
      <c r="D283" s="281" t="s">
        <v>176</v>
      </c>
      <c r="E283" s="281">
        <v>2</v>
      </c>
      <c r="F283" s="222" t="str">
        <f t="shared" si="49"/>
        <v>THREAT-22</v>
      </c>
      <c r="G283" s="222">
        <f t="shared" si="47"/>
        <v>5</v>
      </c>
      <c r="H283" s="284">
        <f t="shared" ca="1" si="50"/>
        <v>0</v>
      </c>
      <c r="I283" s="284">
        <f t="shared" ca="1" si="51"/>
        <v>0</v>
      </c>
      <c r="J283" s="287" t="s">
        <v>206</v>
      </c>
      <c r="W283" s="278" t="str">
        <f ca="1">AB283&amp;"-"&amp;COUNTIF($AB$2:$AB283,$AB283)</f>
        <v>0-2-0-90</v>
      </c>
      <c r="X283" s="278" t="s">
        <v>206</v>
      </c>
      <c r="Y283" s="289">
        <f t="shared" ca="1" si="53"/>
        <v>0</v>
      </c>
      <c r="Z283" s="271">
        <v>2</v>
      </c>
      <c r="AA283" s="277">
        <f t="shared" ca="1" si="48"/>
        <v>0</v>
      </c>
      <c r="AB283" s="279" t="str">
        <f t="shared" ca="1" si="52"/>
        <v>0-2-0</v>
      </c>
    </row>
    <row r="284" spans="1:28" x14ac:dyDescent="0.25">
      <c r="A284" s="281" t="s">
        <v>69</v>
      </c>
      <c r="B284" s="281" t="s">
        <v>79</v>
      </c>
      <c r="C284" s="281" t="s">
        <v>207</v>
      </c>
      <c r="D284" s="281" t="s">
        <v>178</v>
      </c>
      <c r="E284" s="281">
        <v>2</v>
      </c>
      <c r="F284" s="222" t="str">
        <f t="shared" si="49"/>
        <v>THREAT-22</v>
      </c>
      <c r="G284" s="222">
        <f t="shared" si="47"/>
        <v>5</v>
      </c>
      <c r="H284" s="284">
        <f t="shared" ca="1" si="50"/>
        <v>0</v>
      </c>
      <c r="I284" s="284">
        <f t="shared" ca="1" si="51"/>
        <v>0</v>
      </c>
      <c r="J284" s="287" t="s">
        <v>207</v>
      </c>
      <c r="W284" s="278" t="str">
        <f ca="1">AB284&amp;"-"&amp;COUNTIF($AB$2:$AB284,$AB284)</f>
        <v>0-2-0-91</v>
      </c>
      <c r="X284" s="278" t="s">
        <v>207</v>
      </c>
      <c r="Y284" s="289">
        <f t="shared" ca="1" si="53"/>
        <v>0</v>
      </c>
      <c r="Z284" s="271">
        <v>2</v>
      </c>
      <c r="AA284" s="277">
        <f t="shared" ca="1" si="48"/>
        <v>0</v>
      </c>
      <c r="AB284" s="279" t="str">
        <f t="shared" ca="1" si="52"/>
        <v>0-2-0</v>
      </c>
    </row>
    <row r="285" spans="1:28" x14ac:dyDescent="0.25">
      <c r="A285" s="281" t="s">
        <v>69</v>
      </c>
      <c r="B285" s="281" t="s">
        <v>79</v>
      </c>
      <c r="C285" s="281" t="s">
        <v>208</v>
      </c>
      <c r="D285" s="281" t="s">
        <v>209</v>
      </c>
      <c r="E285" s="281">
        <v>2</v>
      </c>
      <c r="F285" s="222" t="str">
        <f t="shared" si="49"/>
        <v>THREAT-22</v>
      </c>
      <c r="G285" s="222">
        <f t="shared" si="47"/>
        <v>5</v>
      </c>
      <c r="H285" s="284">
        <f t="shared" ca="1" si="50"/>
        <v>0</v>
      </c>
      <c r="I285" s="284">
        <f t="shared" ca="1" si="51"/>
        <v>0</v>
      </c>
      <c r="J285" s="287" t="s">
        <v>208</v>
      </c>
      <c r="W285" s="278" t="str">
        <f ca="1">AB285&amp;"-"&amp;COUNTIF($AB$2:$AB285,$AB285)</f>
        <v>0-2-0-92</v>
      </c>
      <c r="X285" s="278" t="s">
        <v>208</v>
      </c>
      <c r="Y285" s="289">
        <f t="shared" ca="1" si="53"/>
        <v>0</v>
      </c>
      <c r="Z285" s="271">
        <v>2</v>
      </c>
      <c r="AA285" s="277">
        <f t="shared" ca="1" si="48"/>
        <v>0</v>
      </c>
      <c r="AB285" s="279" t="str">
        <f t="shared" ca="1" si="52"/>
        <v>0-2-0</v>
      </c>
    </row>
    <row r="286" spans="1:28" x14ac:dyDescent="0.25">
      <c r="A286" s="281" t="s">
        <v>69</v>
      </c>
      <c r="B286" s="281" t="s">
        <v>79</v>
      </c>
      <c r="C286" s="281" t="s">
        <v>210</v>
      </c>
      <c r="D286" s="281" t="s">
        <v>211</v>
      </c>
      <c r="E286" s="281">
        <v>3</v>
      </c>
      <c r="F286" s="222" t="str">
        <f t="shared" si="49"/>
        <v>THREAT-23</v>
      </c>
      <c r="G286" s="222">
        <f t="shared" si="47"/>
        <v>4</v>
      </c>
      <c r="H286" s="284">
        <f t="shared" ca="1" si="50"/>
        <v>0</v>
      </c>
      <c r="I286" s="284">
        <f t="shared" ca="1" si="51"/>
        <v>0</v>
      </c>
      <c r="J286" s="287" t="s">
        <v>210</v>
      </c>
      <c r="W286" s="278" t="str">
        <f ca="1">AB286&amp;"-"&amp;COUNTIF($AB$2:$AB286,$AB286)</f>
        <v>0-3-0-67</v>
      </c>
      <c r="X286" s="278" t="s">
        <v>210</v>
      </c>
      <c r="Y286" s="289">
        <f t="shared" ca="1" si="53"/>
        <v>0</v>
      </c>
      <c r="Z286" s="271">
        <v>3</v>
      </c>
      <c r="AA286" s="277">
        <f t="shared" ca="1" si="48"/>
        <v>0</v>
      </c>
      <c r="AB286" s="279" t="str">
        <f t="shared" ca="1" si="52"/>
        <v>0-3-0</v>
      </c>
    </row>
    <row r="287" spans="1:28" x14ac:dyDescent="0.25">
      <c r="A287" s="281" t="s">
        <v>69</v>
      </c>
      <c r="B287" s="281" t="s">
        <v>79</v>
      </c>
      <c r="C287" s="281" t="s">
        <v>212</v>
      </c>
      <c r="D287" s="281" t="s">
        <v>213</v>
      </c>
      <c r="E287" s="281">
        <v>3</v>
      </c>
      <c r="F287" s="222" t="str">
        <f t="shared" si="49"/>
        <v>THREAT-23</v>
      </c>
      <c r="G287" s="222">
        <f t="shared" si="47"/>
        <v>4</v>
      </c>
      <c r="H287" s="284">
        <f t="shared" ca="1" si="50"/>
        <v>0</v>
      </c>
      <c r="I287" s="284">
        <f t="shared" ca="1" si="51"/>
        <v>0</v>
      </c>
      <c r="J287" s="287" t="s">
        <v>212</v>
      </c>
      <c r="W287" s="278" t="str">
        <f ca="1">AB287&amp;"-"&amp;COUNTIF($AB$2:$AB287,$AB287)</f>
        <v>0-3-0-68</v>
      </c>
      <c r="X287" s="278" t="s">
        <v>212</v>
      </c>
      <c r="Y287" s="289">
        <f t="shared" ca="1" si="53"/>
        <v>0</v>
      </c>
      <c r="Z287" s="271">
        <v>3</v>
      </c>
      <c r="AA287" s="277">
        <f t="shared" ca="1" si="48"/>
        <v>0</v>
      </c>
      <c r="AB287" s="279" t="str">
        <f t="shared" ca="1" si="52"/>
        <v>0-3-0</v>
      </c>
    </row>
    <row r="288" spans="1:28" x14ac:dyDescent="0.25">
      <c r="A288" s="281" t="s">
        <v>69</v>
      </c>
      <c r="B288" s="281" t="s">
        <v>79</v>
      </c>
      <c r="C288" s="281" t="s">
        <v>214</v>
      </c>
      <c r="D288" s="281" t="s">
        <v>215</v>
      </c>
      <c r="E288" s="281">
        <v>3</v>
      </c>
      <c r="F288" s="222" t="str">
        <f t="shared" si="49"/>
        <v>THREAT-23</v>
      </c>
      <c r="G288" s="222">
        <f t="shared" si="47"/>
        <v>4</v>
      </c>
      <c r="H288" s="284">
        <f t="shared" ca="1" si="50"/>
        <v>0</v>
      </c>
      <c r="I288" s="284">
        <f t="shared" ca="1" si="51"/>
        <v>0</v>
      </c>
      <c r="J288" s="287" t="s">
        <v>214</v>
      </c>
      <c r="W288" s="278" t="str">
        <f ca="1">AB288&amp;"-"&amp;COUNTIF($AB$2:$AB288,$AB288)</f>
        <v>0-3-0-69</v>
      </c>
      <c r="X288" s="278" t="s">
        <v>214</v>
      </c>
      <c r="Y288" s="289">
        <f t="shared" ca="1" si="53"/>
        <v>0</v>
      </c>
      <c r="Z288" s="271">
        <v>3</v>
      </c>
      <c r="AA288" s="277">
        <f t="shared" ca="1" si="48"/>
        <v>0</v>
      </c>
      <c r="AB288" s="279" t="str">
        <f t="shared" ca="1" si="52"/>
        <v>0-3-0</v>
      </c>
    </row>
    <row r="289" spans="1:28" x14ac:dyDescent="0.25">
      <c r="A289" s="281" t="s">
        <v>69</v>
      </c>
      <c r="B289" s="281" t="s">
        <v>79</v>
      </c>
      <c r="C289" s="281" t="s">
        <v>216</v>
      </c>
      <c r="D289" s="281" t="s">
        <v>217</v>
      </c>
      <c r="E289" s="281">
        <v>3</v>
      </c>
      <c r="F289" s="222" t="str">
        <f t="shared" si="49"/>
        <v>THREAT-23</v>
      </c>
      <c r="G289" s="222">
        <f t="shared" si="47"/>
        <v>4</v>
      </c>
      <c r="H289" s="284">
        <f t="shared" ca="1" si="50"/>
        <v>0</v>
      </c>
      <c r="I289" s="284">
        <f t="shared" ca="1" si="51"/>
        <v>0</v>
      </c>
      <c r="J289" s="287" t="s">
        <v>216</v>
      </c>
      <c r="W289" s="278" t="str">
        <f ca="1">AB289&amp;"-"&amp;COUNTIF($AB$2:$AB289,$AB289)</f>
        <v>0-3-0-70</v>
      </c>
      <c r="X289" s="278" t="s">
        <v>216</v>
      </c>
      <c r="Y289" s="289">
        <f t="shared" ca="1" si="53"/>
        <v>0</v>
      </c>
      <c r="Z289" s="271">
        <v>3</v>
      </c>
      <c r="AA289" s="277">
        <f t="shared" ca="1" si="48"/>
        <v>0</v>
      </c>
      <c r="AB289" s="279" t="str">
        <f t="shared" ca="1" si="52"/>
        <v>0-3-0</v>
      </c>
    </row>
    <row r="290" spans="1:28" x14ac:dyDescent="0.25">
      <c r="A290" s="281" t="s">
        <v>69</v>
      </c>
      <c r="B290" s="281" t="s">
        <v>82</v>
      </c>
      <c r="C290" s="281" t="s">
        <v>218</v>
      </c>
      <c r="D290" s="281" t="s">
        <v>25</v>
      </c>
      <c r="E290" s="281">
        <v>2</v>
      </c>
      <c r="F290" s="222" t="str">
        <f t="shared" si="49"/>
        <v>THREAT-32</v>
      </c>
      <c r="G290" s="222">
        <f t="shared" si="47"/>
        <v>4</v>
      </c>
      <c r="H290" s="284">
        <f t="shared" ca="1" si="50"/>
        <v>0</v>
      </c>
      <c r="I290" s="284">
        <f t="shared" ca="1" si="51"/>
        <v>0</v>
      </c>
      <c r="J290" s="287" t="s">
        <v>218</v>
      </c>
      <c r="W290" s="278" t="str">
        <f ca="1">AB290&amp;"-"&amp;COUNTIF($AB$2:$AB290,$AB290)</f>
        <v>1-2-0-40</v>
      </c>
      <c r="X290" s="278" t="s">
        <v>218</v>
      </c>
      <c r="Y290" s="289">
        <f t="shared" ca="1" si="53"/>
        <v>1</v>
      </c>
      <c r="Z290" s="271">
        <v>2</v>
      </c>
      <c r="AA290" s="277">
        <f t="shared" ca="1" si="48"/>
        <v>0</v>
      </c>
      <c r="AB290" s="279" t="str">
        <f t="shared" ca="1" si="52"/>
        <v>1-2-0</v>
      </c>
    </row>
    <row r="291" spans="1:28" x14ac:dyDescent="0.25">
      <c r="A291" s="281" t="s">
        <v>69</v>
      </c>
      <c r="B291" s="281" t="s">
        <v>82</v>
      </c>
      <c r="C291" s="281" t="s">
        <v>219</v>
      </c>
      <c r="D291" s="281" t="s">
        <v>26</v>
      </c>
      <c r="E291" s="281">
        <v>2</v>
      </c>
      <c r="F291" s="222" t="str">
        <f t="shared" si="49"/>
        <v>THREAT-32</v>
      </c>
      <c r="G291" s="222">
        <f t="shared" si="47"/>
        <v>4</v>
      </c>
      <c r="H291" s="284">
        <f t="shared" ca="1" si="50"/>
        <v>0</v>
      </c>
      <c r="I291" s="284">
        <f t="shared" ca="1" si="51"/>
        <v>0</v>
      </c>
      <c r="J291" s="287" t="s">
        <v>219</v>
      </c>
      <c r="W291" s="278" t="str">
        <f ca="1">AB291&amp;"-"&amp;COUNTIF($AB$2:$AB291,$AB291)</f>
        <v>1-2-0-41</v>
      </c>
      <c r="X291" s="278" t="s">
        <v>219</v>
      </c>
      <c r="Y291" s="289">
        <f t="shared" ca="1" si="53"/>
        <v>1</v>
      </c>
      <c r="Z291" s="271">
        <v>2</v>
      </c>
      <c r="AA291" s="277">
        <f t="shared" ca="1" si="48"/>
        <v>0</v>
      </c>
      <c r="AB291" s="279" t="str">
        <f t="shared" ca="1" si="52"/>
        <v>1-2-0</v>
      </c>
    </row>
    <row r="292" spans="1:28" x14ac:dyDescent="0.25">
      <c r="A292" s="281" t="s">
        <v>69</v>
      </c>
      <c r="B292" s="281" t="s">
        <v>82</v>
      </c>
      <c r="C292" s="281" t="s">
        <v>220</v>
      </c>
      <c r="D292" s="281" t="s">
        <v>27</v>
      </c>
      <c r="E292" s="281">
        <v>2</v>
      </c>
      <c r="F292" s="222" t="str">
        <f t="shared" si="49"/>
        <v>THREAT-32</v>
      </c>
      <c r="G292" s="222">
        <f t="shared" si="47"/>
        <v>4</v>
      </c>
      <c r="H292" s="284">
        <f t="shared" ca="1" si="50"/>
        <v>0</v>
      </c>
      <c r="I292" s="284">
        <f t="shared" ca="1" si="51"/>
        <v>0</v>
      </c>
      <c r="J292" s="287" t="s">
        <v>220</v>
      </c>
      <c r="W292" s="278" t="str">
        <f ca="1">AB292&amp;"-"&amp;COUNTIF($AB$2:$AB292,$AB292)</f>
        <v>1-2-0-42</v>
      </c>
      <c r="X292" s="278" t="s">
        <v>220</v>
      </c>
      <c r="Y292" s="289">
        <f t="shared" ca="1" si="53"/>
        <v>1</v>
      </c>
      <c r="Z292" s="271">
        <v>2</v>
      </c>
      <c r="AA292" s="277">
        <f t="shared" ca="1" si="48"/>
        <v>0</v>
      </c>
      <c r="AB292" s="279" t="str">
        <f t="shared" ca="1" si="52"/>
        <v>1-2-0</v>
      </c>
    </row>
    <row r="293" spans="1:28" x14ac:dyDescent="0.25">
      <c r="A293" s="281" t="s">
        <v>69</v>
      </c>
      <c r="B293" s="281" t="s">
        <v>82</v>
      </c>
      <c r="C293" s="281" t="s">
        <v>221</v>
      </c>
      <c r="D293" s="281" t="s">
        <v>28</v>
      </c>
      <c r="E293" s="281">
        <v>2</v>
      </c>
      <c r="F293" s="222" t="str">
        <f t="shared" si="49"/>
        <v>THREAT-32</v>
      </c>
      <c r="G293" s="222">
        <f t="shared" si="47"/>
        <v>4</v>
      </c>
      <c r="H293" s="284">
        <f t="shared" ca="1" si="50"/>
        <v>0</v>
      </c>
      <c r="I293" s="284">
        <f t="shared" ca="1" si="51"/>
        <v>0</v>
      </c>
      <c r="J293" s="287" t="s">
        <v>221</v>
      </c>
      <c r="W293" s="278" t="str">
        <f ca="1">AB293&amp;"-"&amp;COUNTIF($AB$2:$AB293,$AB293)</f>
        <v>1-2-0-43</v>
      </c>
      <c r="X293" s="278" t="s">
        <v>221</v>
      </c>
      <c r="Y293" s="289">
        <f t="shared" ca="1" si="53"/>
        <v>1</v>
      </c>
      <c r="Z293" s="271">
        <v>2</v>
      </c>
      <c r="AA293" s="277">
        <f t="shared" ca="1" si="48"/>
        <v>0</v>
      </c>
      <c r="AB293" s="279" t="str">
        <f t="shared" ca="1" si="52"/>
        <v>1-2-0</v>
      </c>
    </row>
    <row r="294" spans="1:28" x14ac:dyDescent="0.25">
      <c r="A294" s="281" t="s">
        <v>69</v>
      </c>
      <c r="B294" s="281" t="s">
        <v>82</v>
      </c>
      <c r="C294" s="281" t="s">
        <v>222</v>
      </c>
      <c r="D294" s="281" t="s">
        <v>29</v>
      </c>
      <c r="E294" s="281">
        <v>3</v>
      </c>
      <c r="F294" s="222" t="str">
        <f t="shared" si="49"/>
        <v>THREAT-33</v>
      </c>
      <c r="G294" s="222">
        <f t="shared" si="47"/>
        <v>3</v>
      </c>
      <c r="H294" s="284">
        <f t="shared" ca="1" si="50"/>
        <v>0</v>
      </c>
      <c r="I294" s="284">
        <f t="shared" ca="1" si="51"/>
        <v>0</v>
      </c>
      <c r="J294" s="287" t="s">
        <v>222</v>
      </c>
      <c r="W294" s="278" t="str">
        <f ca="1">AB294&amp;"-"&amp;COUNTIF($AB$2:$AB294,$AB294)</f>
        <v>1-3-0-35</v>
      </c>
      <c r="X294" s="278" t="s">
        <v>222</v>
      </c>
      <c r="Y294" s="289">
        <f t="shared" ca="1" si="53"/>
        <v>1</v>
      </c>
      <c r="Z294" s="271">
        <v>3</v>
      </c>
      <c r="AA294" s="277">
        <f t="shared" ca="1" si="48"/>
        <v>0</v>
      </c>
      <c r="AB294" s="279" t="str">
        <f t="shared" ca="1" si="52"/>
        <v>1-3-0</v>
      </c>
    </row>
    <row r="295" spans="1:28" x14ac:dyDescent="0.25">
      <c r="A295" s="281" t="s">
        <v>69</v>
      </c>
      <c r="B295" s="281" t="s">
        <v>82</v>
      </c>
      <c r="C295" s="281" t="s">
        <v>223</v>
      </c>
      <c r="D295" s="281" t="s">
        <v>30</v>
      </c>
      <c r="E295" s="281">
        <v>3</v>
      </c>
      <c r="F295" s="222" t="str">
        <f t="shared" si="49"/>
        <v>THREAT-33</v>
      </c>
      <c r="G295" s="222">
        <f t="shared" si="47"/>
        <v>3</v>
      </c>
      <c r="H295" s="284">
        <f t="shared" ca="1" si="50"/>
        <v>0</v>
      </c>
      <c r="I295" s="284">
        <f t="shared" ca="1" si="51"/>
        <v>0</v>
      </c>
      <c r="J295" s="287" t="s">
        <v>223</v>
      </c>
      <c r="W295" s="278" t="str">
        <f ca="1">AB295&amp;"-"&amp;COUNTIF($AB$2:$AB295,$AB295)</f>
        <v>1-3-0-36</v>
      </c>
      <c r="X295" s="278" t="s">
        <v>223</v>
      </c>
      <c r="Y295" s="289">
        <f t="shared" ca="1" si="53"/>
        <v>1</v>
      </c>
      <c r="Z295" s="271">
        <v>3</v>
      </c>
      <c r="AA295" s="277">
        <f t="shared" ca="1" si="48"/>
        <v>0</v>
      </c>
      <c r="AB295" s="279" t="str">
        <f t="shared" ca="1" si="52"/>
        <v>1-3-0</v>
      </c>
    </row>
    <row r="296" spans="1:28" x14ac:dyDescent="0.25">
      <c r="A296" s="281" t="s">
        <v>69</v>
      </c>
      <c r="B296" s="281" t="s">
        <v>82</v>
      </c>
      <c r="C296" s="281" t="s">
        <v>224</v>
      </c>
      <c r="D296" s="281" t="s">
        <v>31</v>
      </c>
      <c r="E296" s="281">
        <v>3</v>
      </c>
      <c r="F296" s="222" t="str">
        <f t="shared" si="49"/>
        <v>THREAT-33</v>
      </c>
      <c r="G296" s="222">
        <f t="shared" si="47"/>
        <v>3</v>
      </c>
      <c r="H296" s="284">
        <f t="shared" ca="1" si="50"/>
        <v>0</v>
      </c>
      <c r="I296" s="284">
        <f t="shared" ca="1" si="51"/>
        <v>0</v>
      </c>
      <c r="J296" s="287" t="s">
        <v>224</v>
      </c>
      <c r="W296" s="278" t="str">
        <f ca="1">AB296&amp;"-"&amp;COUNTIF($AB$2:$AB296,$AB296)</f>
        <v>1-3-0-37</v>
      </c>
      <c r="X296" s="278" t="s">
        <v>224</v>
      </c>
      <c r="Y296" s="289">
        <f t="shared" ca="1" si="53"/>
        <v>1</v>
      </c>
      <c r="Z296" s="271">
        <v>3</v>
      </c>
      <c r="AA296" s="277">
        <f t="shared" ca="1" si="48"/>
        <v>0</v>
      </c>
      <c r="AB296" s="279" t="str">
        <f t="shared" ca="1" si="52"/>
        <v>1-3-0</v>
      </c>
    </row>
    <row r="297" spans="1:28" x14ac:dyDescent="0.25">
      <c r="A297" s="281" t="s">
        <v>80</v>
      </c>
      <c r="B297" s="281" t="s">
        <v>113</v>
      </c>
      <c r="C297" s="281" t="s">
        <v>319</v>
      </c>
      <c r="D297" s="281" t="s">
        <v>7</v>
      </c>
      <c r="E297" s="281">
        <v>1</v>
      </c>
      <c r="F297" s="222" t="str">
        <f t="shared" si="49"/>
        <v>WORKFORCE-11</v>
      </c>
      <c r="G297" s="222">
        <f t="shared" si="47"/>
        <v>2</v>
      </c>
      <c r="H297" s="284">
        <f t="shared" ca="1" si="50"/>
        <v>0</v>
      </c>
      <c r="I297" s="284">
        <f t="shared" ca="1" si="51"/>
        <v>0</v>
      </c>
      <c r="J297" s="287" t="s">
        <v>319</v>
      </c>
      <c r="W297" s="278" t="str">
        <f ca="1">AB297&amp;"-"&amp;COUNTIF($AB$2:$AB297,$AB297)</f>
        <v>0-1-0-54</v>
      </c>
      <c r="X297" s="278" t="s">
        <v>319</v>
      </c>
      <c r="Y297" s="289">
        <f t="shared" ca="1" si="53"/>
        <v>0</v>
      </c>
      <c r="Z297" s="271">
        <v>1</v>
      </c>
      <c r="AA297" s="277">
        <f t="shared" ca="1" si="48"/>
        <v>0</v>
      </c>
      <c r="AB297" s="279" t="str">
        <f t="shared" ca="1" si="52"/>
        <v>0-1-0</v>
      </c>
    </row>
    <row r="298" spans="1:28" x14ac:dyDescent="0.25">
      <c r="A298" s="281" t="s">
        <v>80</v>
      </c>
      <c r="B298" s="281" t="s">
        <v>113</v>
      </c>
      <c r="C298" s="281" t="s">
        <v>320</v>
      </c>
      <c r="D298" s="281" t="s">
        <v>9</v>
      </c>
      <c r="E298" s="281">
        <v>1</v>
      </c>
      <c r="F298" s="222" t="str">
        <f t="shared" si="49"/>
        <v>WORKFORCE-11</v>
      </c>
      <c r="G298" s="222">
        <f t="shared" si="47"/>
        <v>2</v>
      </c>
      <c r="H298" s="284">
        <f t="shared" ca="1" si="50"/>
        <v>0</v>
      </c>
      <c r="I298" s="284">
        <f t="shared" ca="1" si="51"/>
        <v>0</v>
      </c>
      <c r="J298" s="287" t="s">
        <v>320</v>
      </c>
      <c r="W298" s="278" t="str">
        <f ca="1">AB298&amp;"-"&amp;COUNTIF($AB$2:$AB298,$AB298)</f>
        <v>0-1-0-55</v>
      </c>
      <c r="X298" s="278" t="s">
        <v>320</v>
      </c>
      <c r="Y298" s="289">
        <f t="shared" ca="1" si="53"/>
        <v>0</v>
      </c>
      <c r="Z298" s="271">
        <v>1</v>
      </c>
      <c r="AA298" s="277">
        <f t="shared" ca="1" si="48"/>
        <v>0</v>
      </c>
      <c r="AB298" s="279" t="str">
        <f t="shared" ca="1" si="52"/>
        <v>0-1-0</v>
      </c>
    </row>
    <row r="299" spans="1:28" x14ac:dyDescent="0.25">
      <c r="A299" s="281" t="s">
        <v>80</v>
      </c>
      <c r="B299" s="281" t="s">
        <v>113</v>
      </c>
      <c r="C299" s="281" t="s">
        <v>321</v>
      </c>
      <c r="D299" s="281" t="s">
        <v>10</v>
      </c>
      <c r="E299" s="281">
        <v>2</v>
      </c>
      <c r="F299" s="222" t="str">
        <f t="shared" si="49"/>
        <v>WORKFORCE-12</v>
      </c>
      <c r="G299" s="222">
        <f t="shared" si="47"/>
        <v>2</v>
      </c>
      <c r="H299" s="284">
        <f t="shared" ca="1" si="50"/>
        <v>0</v>
      </c>
      <c r="I299" s="284">
        <f t="shared" ca="1" si="51"/>
        <v>0</v>
      </c>
      <c r="J299" s="287" t="s">
        <v>321</v>
      </c>
      <c r="W299" s="278" t="str">
        <f ca="1">AB299&amp;"-"&amp;COUNTIF($AB$2:$AB299,$AB299)</f>
        <v>0-2-0-93</v>
      </c>
      <c r="X299" s="278" t="s">
        <v>321</v>
      </c>
      <c r="Y299" s="289">
        <f t="shared" ca="1" si="53"/>
        <v>0</v>
      </c>
      <c r="Z299" s="271">
        <v>2</v>
      </c>
      <c r="AA299" s="277">
        <f t="shared" ca="1" si="48"/>
        <v>0</v>
      </c>
      <c r="AB299" s="279" t="str">
        <f t="shared" ca="1" si="52"/>
        <v>0-2-0</v>
      </c>
    </row>
    <row r="300" spans="1:28" x14ac:dyDescent="0.25">
      <c r="A300" s="281" t="s">
        <v>80</v>
      </c>
      <c r="B300" s="281" t="s">
        <v>113</v>
      </c>
      <c r="C300" s="281" t="s">
        <v>322</v>
      </c>
      <c r="D300" s="281" t="s">
        <v>11</v>
      </c>
      <c r="E300" s="281">
        <v>2</v>
      </c>
      <c r="F300" s="222" t="str">
        <f t="shared" si="49"/>
        <v>WORKFORCE-12</v>
      </c>
      <c r="G300" s="222">
        <f t="shared" si="47"/>
        <v>2</v>
      </c>
      <c r="H300" s="284">
        <f t="shared" ca="1" si="50"/>
        <v>0</v>
      </c>
      <c r="I300" s="284">
        <f t="shared" ca="1" si="51"/>
        <v>0</v>
      </c>
      <c r="J300" s="287" t="s">
        <v>322</v>
      </c>
      <c r="W300" s="278" t="str">
        <f ca="1">AB300&amp;"-"&amp;COUNTIF($AB$2:$AB300,$AB300)</f>
        <v>0-2-0-94</v>
      </c>
      <c r="X300" s="278" t="s">
        <v>322</v>
      </c>
      <c r="Y300" s="289">
        <f t="shared" ca="1" si="53"/>
        <v>0</v>
      </c>
      <c r="Z300" s="271">
        <v>2</v>
      </c>
      <c r="AA300" s="277">
        <f t="shared" ca="1" si="48"/>
        <v>0</v>
      </c>
      <c r="AB300" s="279" t="str">
        <f t="shared" ca="1" si="52"/>
        <v>0-2-0</v>
      </c>
    </row>
    <row r="301" spans="1:28" x14ac:dyDescent="0.25">
      <c r="A301" s="281" t="s">
        <v>80</v>
      </c>
      <c r="B301" s="281" t="s">
        <v>113</v>
      </c>
      <c r="C301" s="281" t="s">
        <v>323</v>
      </c>
      <c r="D301" s="281" t="s">
        <v>12</v>
      </c>
      <c r="E301" s="281">
        <v>3</v>
      </c>
      <c r="F301" s="222" t="str">
        <f t="shared" si="49"/>
        <v>WORKFORCE-13</v>
      </c>
      <c r="G301" s="222">
        <f t="shared" si="47"/>
        <v>2</v>
      </c>
      <c r="H301" s="284">
        <f t="shared" ca="1" si="50"/>
        <v>0</v>
      </c>
      <c r="I301" s="284">
        <f t="shared" ca="1" si="51"/>
        <v>0</v>
      </c>
      <c r="J301" s="287" t="s">
        <v>323</v>
      </c>
      <c r="W301" s="278" t="str">
        <f ca="1">AB301&amp;"-"&amp;COUNTIF($AB$2:$AB301,$AB301)</f>
        <v>0-3-0-71</v>
      </c>
      <c r="X301" s="278" t="s">
        <v>323</v>
      </c>
      <c r="Y301" s="289">
        <f t="shared" ca="1" si="53"/>
        <v>0</v>
      </c>
      <c r="Z301" s="271">
        <v>3</v>
      </c>
      <c r="AA301" s="277">
        <f t="shared" ca="1" si="48"/>
        <v>0</v>
      </c>
      <c r="AB301" s="279" t="str">
        <f t="shared" ca="1" si="52"/>
        <v>0-3-0</v>
      </c>
    </row>
    <row r="302" spans="1:28" x14ac:dyDescent="0.25">
      <c r="A302" s="281" t="s">
        <v>80</v>
      </c>
      <c r="B302" s="281" t="s">
        <v>113</v>
      </c>
      <c r="C302" s="281" t="s">
        <v>324</v>
      </c>
      <c r="D302" s="281" t="s">
        <v>13</v>
      </c>
      <c r="E302" s="281">
        <v>3</v>
      </c>
      <c r="F302" s="222" t="str">
        <f t="shared" si="49"/>
        <v>WORKFORCE-13</v>
      </c>
      <c r="G302" s="222">
        <f t="shared" si="47"/>
        <v>2</v>
      </c>
      <c r="H302" s="284">
        <f t="shared" ca="1" si="50"/>
        <v>0</v>
      </c>
      <c r="I302" s="284">
        <f t="shared" ca="1" si="51"/>
        <v>0</v>
      </c>
      <c r="J302" s="287" t="s">
        <v>324</v>
      </c>
      <c r="W302" s="278" t="str">
        <f ca="1">AB302&amp;"-"&amp;COUNTIF($AB$2:$AB302,$AB302)</f>
        <v>0-3-0-72</v>
      </c>
      <c r="X302" s="278" t="s">
        <v>324</v>
      </c>
      <c r="Y302" s="289">
        <f t="shared" ca="1" si="53"/>
        <v>0</v>
      </c>
      <c r="Z302" s="271">
        <v>3</v>
      </c>
      <c r="AA302" s="277">
        <f t="shared" ca="1" si="48"/>
        <v>0</v>
      </c>
      <c r="AB302" s="279" t="str">
        <f t="shared" ca="1" si="52"/>
        <v>0-3-0</v>
      </c>
    </row>
    <row r="303" spans="1:28" x14ac:dyDescent="0.25">
      <c r="A303" s="281" t="s">
        <v>80</v>
      </c>
      <c r="B303" s="281" t="s">
        <v>115</v>
      </c>
      <c r="C303" s="281" t="s">
        <v>325</v>
      </c>
      <c r="D303" s="281" t="s">
        <v>20</v>
      </c>
      <c r="E303" s="281">
        <v>1</v>
      </c>
      <c r="F303" s="222" t="str">
        <f t="shared" si="49"/>
        <v>WORKFORCE-21</v>
      </c>
      <c r="G303" s="222">
        <f t="shared" si="47"/>
        <v>2</v>
      </c>
      <c r="H303" s="284">
        <f t="shared" ca="1" si="50"/>
        <v>0</v>
      </c>
      <c r="I303" s="284">
        <f t="shared" ca="1" si="51"/>
        <v>0</v>
      </c>
      <c r="J303" s="287" t="s">
        <v>325</v>
      </c>
      <c r="W303" s="278" t="str">
        <f ca="1">AB303&amp;"-"&amp;COUNTIF($AB$2:$AB303,$AB303)</f>
        <v>0-1-0-56</v>
      </c>
      <c r="X303" s="278" t="s">
        <v>325</v>
      </c>
      <c r="Y303" s="289">
        <f t="shared" ca="1" si="53"/>
        <v>0</v>
      </c>
      <c r="Z303" s="271">
        <v>1</v>
      </c>
      <c r="AA303" s="277">
        <f t="shared" ca="1" si="48"/>
        <v>0</v>
      </c>
      <c r="AB303" s="279" t="str">
        <f t="shared" ca="1" si="52"/>
        <v>0-1-0</v>
      </c>
    </row>
    <row r="304" spans="1:28" x14ac:dyDescent="0.25">
      <c r="A304" s="281" t="s">
        <v>80</v>
      </c>
      <c r="B304" s="281" t="s">
        <v>115</v>
      </c>
      <c r="C304" s="281" t="s">
        <v>326</v>
      </c>
      <c r="D304" s="281" t="s">
        <v>21</v>
      </c>
      <c r="E304" s="281">
        <v>1</v>
      </c>
      <c r="F304" s="222" t="str">
        <f t="shared" si="49"/>
        <v>WORKFORCE-21</v>
      </c>
      <c r="G304" s="222">
        <f t="shared" si="47"/>
        <v>2</v>
      </c>
      <c r="H304" s="284">
        <f t="shared" ca="1" si="50"/>
        <v>0</v>
      </c>
      <c r="I304" s="284">
        <f t="shared" ca="1" si="51"/>
        <v>0</v>
      </c>
      <c r="J304" s="287" t="s">
        <v>326</v>
      </c>
      <c r="W304" s="278" t="str">
        <f ca="1">AB304&amp;"-"&amp;COUNTIF($AB$2:$AB304,$AB304)</f>
        <v>0-1-0-57</v>
      </c>
      <c r="X304" s="278" t="s">
        <v>326</v>
      </c>
      <c r="Y304" s="289">
        <f t="shared" ca="1" si="53"/>
        <v>0</v>
      </c>
      <c r="Z304" s="271">
        <v>1</v>
      </c>
      <c r="AA304" s="277">
        <f t="shared" ca="1" si="48"/>
        <v>0</v>
      </c>
      <c r="AB304" s="279" t="str">
        <f t="shared" ca="1" si="52"/>
        <v>0-1-0</v>
      </c>
    </row>
    <row r="305" spans="1:28" x14ac:dyDescent="0.25">
      <c r="A305" s="281" t="s">
        <v>80</v>
      </c>
      <c r="B305" s="281" t="s">
        <v>115</v>
      </c>
      <c r="C305" s="281" t="s">
        <v>327</v>
      </c>
      <c r="D305" s="281" t="s">
        <v>22</v>
      </c>
      <c r="E305" s="281">
        <v>2</v>
      </c>
      <c r="F305" s="222" t="str">
        <f t="shared" si="49"/>
        <v>WORKFORCE-22</v>
      </c>
      <c r="G305" s="222">
        <f t="shared" si="47"/>
        <v>2</v>
      </c>
      <c r="H305" s="284">
        <f t="shared" ca="1" si="50"/>
        <v>0</v>
      </c>
      <c r="I305" s="284">
        <f t="shared" ca="1" si="51"/>
        <v>0</v>
      </c>
      <c r="J305" s="287" t="s">
        <v>327</v>
      </c>
      <c r="W305" s="278" t="str">
        <f ca="1">AB305&amp;"-"&amp;COUNTIF($AB$2:$AB305,$AB305)</f>
        <v>0-2-0-95</v>
      </c>
      <c r="X305" s="278" t="s">
        <v>327</v>
      </c>
      <c r="Y305" s="289">
        <f t="shared" ca="1" si="53"/>
        <v>0</v>
      </c>
      <c r="Z305" s="271">
        <v>2</v>
      </c>
      <c r="AA305" s="277">
        <f t="shared" ca="1" si="48"/>
        <v>0</v>
      </c>
      <c r="AB305" s="279" t="str">
        <f t="shared" ca="1" si="52"/>
        <v>0-2-0</v>
      </c>
    </row>
    <row r="306" spans="1:28" x14ac:dyDescent="0.25">
      <c r="A306" s="281" t="s">
        <v>80</v>
      </c>
      <c r="B306" s="281" t="s">
        <v>115</v>
      </c>
      <c r="C306" s="281" t="s">
        <v>328</v>
      </c>
      <c r="D306" s="281" t="s">
        <v>23</v>
      </c>
      <c r="E306" s="281">
        <v>2</v>
      </c>
      <c r="F306" s="222" t="str">
        <f t="shared" si="49"/>
        <v>WORKFORCE-22</v>
      </c>
      <c r="G306" s="222">
        <f t="shared" si="47"/>
        <v>2</v>
      </c>
      <c r="H306" s="284">
        <f t="shared" ca="1" si="50"/>
        <v>0</v>
      </c>
      <c r="I306" s="284">
        <f t="shared" ca="1" si="51"/>
        <v>0</v>
      </c>
      <c r="J306" s="287" t="s">
        <v>328</v>
      </c>
      <c r="W306" s="278" t="str">
        <f ca="1">AB306&amp;"-"&amp;COUNTIF($AB$2:$AB306,$AB306)</f>
        <v>0-2-0-96</v>
      </c>
      <c r="X306" s="278" t="s">
        <v>328</v>
      </c>
      <c r="Y306" s="289">
        <f t="shared" ca="1" si="53"/>
        <v>0</v>
      </c>
      <c r="Z306" s="271">
        <v>2</v>
      </c>
      <c r="AA306" s="277">
        <f t="shared" ca="1" si="48"/>
        <v>0</v>
      </c>
      <c r="AB306" s="279" t="str">
        <f t="shared" ca="1" si="52"/>
        <v>0-2-0</v>
      </c>
    </row>
    <row r="307" spans="1:28" x14ac:dyDescent="0.25">
      <c r="A307" s="281" t="s">
        <v>80</v>
      </c>
      <c r="B307" s="281" t="s">
        <v>115</v>
      </c>
      <c r="C307" s="281" t="s">
        <v>329</v>
      </c>
      <c r="D307" s="281" t="s">
        <v>24</v>
      </c>
      <c r="E307" s="281">
        <v>3</v>
      </c>
      <c r="F307" s="222" t="str">
        <f t="shared" si="49"/>
        <v>WORKFORCE-23</v>
      </c>
      <c r="G307" s="222">
        <f t="shared" si="47"/>
        <v>2</v>
      </c>
      <c r="H307" s="284">
        <f t="shared" ca="1" si="50"/>
        <v>0</v>
      </c>
      <c r="I307" s="284">
        <f t="shared" ca="1" si="51"/>
        <v>0</v>
      </c>
      <c r="J307" s="287" t="s">
        <v>329</v>
      </c>
      <c r="W307" s="278" t="str">
        <f ca="1">AB307&amp;"-"&amp;COUNTIF($AB$2:$AB307,$AB307)</f>
        <v>0-3-0-73</v>
      </c>
      <c r="X307" s="278" t="s">
        <v>329</v>
      </c>
      <c r="Y307" s="289">
        <f t="shared" ca="1" si="53"/>
        <v>0</v>
      </c>
      <c r="Z307" s="271">
        <v>3</v>
      </c>
      <c r="AA307" s="277">
        <f t="shared" ca="1" si="48"/>
        <v>0</v>
      </c>
      <c r="AB307" s="279" t="str">
        <f t="shared" ca="1" si="52"/>
        <v>0-3-0</v>
      </c>
    </row>
    <row r="308" spans="1:28" x14ac:dyDescent="0.25">
      <c r="A308" s="281" t="s">
        <v>80</v>
      </c>
      <c r="B308" s="281" t="s">
        <v>115</v>
      </c>
      <c r="C308" s="281" t="s">
        <v>330</v>
      </c>
      <c r="D308" s="281" t="s">
        <v>112</v>
      </c>
      <c r="E308" s="281">
        <v>3</v>
      </c>
      <c r="F308" s="222" t="str">
        <f t="shared" si="49"/>
        <v>WORKFORCE-23</v>
      </c>
      <c r="G308" s="222">
        <f t="shared" si="47"/>
        <v>2</v>
      </c>
      <c r="H308" s="284">
        <f t="shared" ca="1" si="50"/>
        <v>0</v>
      </c>
      <c r="I308" s="284">
        <f t="shared" ca="1" si="51"/>
        <v>0</v>
      </c>
      <c r="J308" s="287" t="s">
        <v>330</v>
      </c>
      <c r="W308" s="278" t="str">
        <f ca="1">AB308&amp;"-"&amp;COUNTIF($AB$2:$AB308,$AB308)</f>
        <v>0-3-0-74</v>
      </c>
      <c r="X308" s="278" t="s">
        <v>330</v>
      </c>
      <c r="Y308" s="289">
        <f t="shared" ca="1" si="53"/>
        <v>0</v>
      </c>
      <c r="Z308" s="271">
        <v>3</v>
      </c>
      <c r="AA308" s="277">
        <f t="shared" ca="1" si="48"/>
        <v>0</v>
      </c>
      <c r="AB308" s="279" t="str">
        <f t="shared" ca="1" si="52"/>
        <v>0-3-0</v>
      </c>
    </row>
    <row r="309" spans="1:28" x14ac:dyDescent="0.25">
      <c r="A309" s="281" t="s">
        <v>80</v>
      </c>
      <c r="B309" s="281" t="s">
        <v>117</v>
      </c>
      <c r="C309" s="281" t="s">
        <v>331</v>
      </c>
      <c r="D309" s="281" t="s">
        <v>25</v>
      </c>
      <c r="E309" s="281">
        <v>1</v>
      </c>
      <c r="F309" s="222" t="str">
        <f t="shared" si="49"/>
        <v>WORKFORCE-31</v>
      </c>
      <c r="G309" s="222">
        <f t="shared" si="47"/>
        <v>2</v>
      </c>
      <c r="H309" s="284">
        <f t="shared" ca="1" si="50"/>
        <v>0</v>
      </c>
      <c r="I309" s="284">
        <f t="shared" ca="1" si="51"/>
        <v>0</v>
      </c>
      <c r="J309" s="287" t="s">
        <v>331</v>
      </c>
      <c r="W309" s="278" t="str">
        <f ca="1">AB309&amp;"-"&amp;COUNTIF($AB$2:$AB309,$AB309)</f>
        <v>0-1-0-58</v>
      </c>
      <c r="X309" s="278" t="s">
        <v>331</v>
      </c>
      <c r="Y309" s="289">
        <f t="shared" ca="1" si="53"/>
        <v>0</v>
      </c>
      <c r="Z309" s="271">
        <v>1</v>
      </c>
      <c r="AA309" s="277">
        <f t="shared" ca="1" si="48"/>
        <v>0</v>
      </c>
      <c r="AB309" s="279" t="str">
        <f t="shared" ca="1" si="52"/>
        <v>0-1-0</v>
      </c>
    </row>
    <row r="310" spans="1:28" x14ac:dyDescent="0.25">
      <c r="A310" s="281" t="s">
        <v>80</v>
      </c>
      <c r="B310" s="281" t="s">
        <v>117</v>
      </c>
      <c r="C310" s="281" t="s">
        <v>332</v>
      </c>
      <c r="D310" s="281" t="s">
        <v>26</v>
      </c>
      <c r="E310" s="281">
        <v>1</v>
      </c>
      <c r="F310" s="222" t="str">
        <f t="shared" si="49"/>
        <v>WORKFORCE-31</v>
      </c>
      <c r="G310" s="222">
        <f t="shared" si="47"/>
        <v>2</v>
      </c>
      <c r="H310" s="284">
        <f t="shared" ca="1" si="50"/>
        <v>0</v>
      </c>
      <c r="I310" s="284">
        <f t="shared" ca="1" si="51"/>
        <v>0</v>
      </c>
      <c r="J310" s="287" t="s">
        <v>332</v>
      </c>
      <c r="W310" s="278" t="str">
        <f ca="1">AB310&amp;"-"&amp;COUNTIF($AB$2:$AB310,$AB310)</f>
        <v>0-1-0-59</v>
      </c>
      <c r="X310" s="278" t="s">
        <v>332</v>
      </c>
      <c r="Y310" s="289">
        <f t="shared" ref="Y310:Y326" ca="1" si="54">VLOOKUP(LEFT($X310,LEN($X310)-1),$K:$O,5,FALSE)</f>
        <v>0</v>
      </c>
      <c r="Z310" s="271">
        <v>1</v>
      </c>
      <c r="AA310" s="277">
        <f t="shared" ca="1" si="48"/>
        <v>0</v>
      </c>
      <c r="AB310" s="279" t="str">
        <f t="shared" ca="1" si="52"/>
        <v>0-1-0</v>
      </c>
    </row>
    <row r="311" spans="1:28" x14ac:dyDescent="0.25">
      <c r="A311" s="281" t="s">
        <v>80</v>
      </c>
      <c r="B311" s="281" t="s">
        <v>117</v>
      </c>
      <c r="C311" s="281" t="s">
        <v>333</v>
      </c>
      <c r="D311" s="281" t="s">
        <v>27</v>
      </c>
      <c r="E311" s="281">
        <v>2</v>
      </c>
      <c r="F311" s="222" t="str">
        <f t="shared" si="49"/>
        <v>WORKFORCE-32</v>
      </c>
      <c r="G311" s="222">
        <f t="shared" si="47"/>
        <v>2</v>
      </c>
      <c r="H311" s="284">
        <f t="shared" ca="1" si="50"/>
        <v>0</v>
      </c>
      <c r="I311" s="284">
        <f t="shared" ca="1" si="51"/>
        <v>0</v>
      </c>
      <c r="J311" s="287" t="s">
        <v>333</v>
      </c>
      <c r="W311" s="278" t="str">
        <f ca="1">AB311&amp;"-"&amp;COUNTIF($AB$2:$AB311,$AB311)</f>
        <v>0-2-0-97</v>
      </c>
      <c r="X311" s="278" t="s">
        <v>333</v>
      </c>
      <c r="Y311" s="289">
        <f t="shared" ca="1" si="54"/>
        <v>0</v>
      </c>
      <c r="Z311" s="271">
        <v>2</v>
      </c>
      <c r="AA311" s="277">
        <f t="shared" ca="1" si="48"/>
        <v>0</v>
      </c>
      <c r="AB311" s="279" t="str">
        <f t="shared" ca="1" si="52"/>
        <v>0-2-0</v>
      </c>
    </row>
    <row r="312" spans="1:28" x14ac:dyDescent="0.25">
      <c r="A312" s="281" t="s">
        <v>80</v>
      </c>
      <c r="B312" s="281" t="s">
        <v>117</v>
      </c>
      <c r="C312" s="281" t="s">
        <v>334</v>
      </c>
      <c r="D312" s="281" t="s">
        <v>28</v>
      </c>
      <c r="E312" s="281">
        <v>2</v>
      </c>
      <c r="F312" s="222" t="str">
        <f t="shared" si="49"/>
        <v>WORKFORCE-32</v>
      </c>
      <c r="G312" s="222">
        <f t="shared" si="47"/>
        <v>2</v>
      </c>
      <c r="H312" s="284">
        <f t="shared" ca="1" si="50"/>
        <v>0</v>
      </c>
      <c r="I312" s="284">
        <f t="shared" ca="1" si="51"/>
        <v>0</v>
      </c>
      <c r="J312" s="287" t="s">
        <v>334</v>
      </c>
      <c r="W312" s="278" t="str">
        <f ca="1">AB312&amp;"-"&amp;COUNTIF($AB$2:$AB312,$AB312)</f>
        <v>0-2-0-98</v>
      </c>
      <c r="X312" s="278" t="s">
        <v>334</v>
      </c>
      <c r="Y312" s="289">
        <f t="shared" ca="1" si="54"/>
        <v>0</v>
      </c>
      <c r="Z312" s="271">
        <v>2</v>
      </c>
      <c r="AA312" s="277">
        <f t="shared" ca="1" si="48"/>
        <v>0</v>
      </c>
      <c r="AB312" s="279" t="str">
        <f t="shared" ca="1" si="52"/>
        <v>0-2-0</v>
      </c>
    </row>
    <row r="313" spans="1:28" x14ac:dyDescent="0.25">
      <c r="A313" s="281" t="s">
        <v>80</v>
      </c>
      <c r="B313" s="281" t="s">
        <v>117</v>
      </c>
      <c r="C313" s="281" t="s">
        <v>335</v>
      </c>
      <c r="D313" s="281" t="s">
        <v>29</v>
      </c>
      <c r="E313" s="281">
        <v>3</v>
      </c>
      <c r="F313" s="222" t="str">
        <f t="shared" si="49"/>
        <v>WORKFORCE-33</v>
      </c>
      <c r="G313" s="222">
        <f t="shared" si="47"/>
        <v>2</v>
      </c>
      <c r="H313" s="284">
        <f t="shared" ca="1" si="50"/>
        <v>0</v>
      </c>
      <c r="I313" s="284">
        <f t="shared" ca="1" si="51"/>
        <v>0</v>
      </c>
      <c r="J313" s="287" t="s">
        <v>335</v>
      </c>
      <c r="W313" s="278" t="str">
        <f ca="1">AB313&amp;"-"&amp;COUNTIF($AB$2:$AB313,$AB313)</f>
        <v>0-3-0-75</v>
      </c>
      <c r="X313" s="278" t="s">
        <v>335</v>
      </c>
      <c r="Y313" s="289">
        <f t="shared" ca="1" si="54"/>
        <v>0</v>
      </c>
      <c r="Z313" s="271">
        <v>3</v>
      </c>
      <c r="AA313" s="277">
        <f t="shared" ca="1" si="48"/>
        <v>0</v>
      </c>
      <c r="AB313" s="279" t="str">
        <f t="shared" ca="1" si="52"/>
        <v>0-3-0</v>
      </c>
    </row>
    <row r="314" spans="1:28" x14ac:dyDescent="0.25">
      <c r="A314" s="281" t="s">
        <v>80</v>
      </c>
      <c r="B314" s="281" t="s">
        <v>117</v>
      </c>
      <c r="C314" s="281" t="s">
        <v>336</v>
      </c>
      <c r="D314" s="281" t="s">
        <v>30</v>
      </c>
      <c r="E314" s="281">
        <v>3</v>
      </c>
      <c r="F314" s="222" t="str">
        <f t="shared" si="49"/>
        <v>WORKFORCE-33</v>
      </c>
      <c r="G314" s="222">
        <f t="shared" si="47"/>
        <v>2</v>
      </c>
      <c r="H314" s="284">
        <f t="shared" ca="1" si="50"/>
        <v>0</v>
      </c>
      <c r="I314" s="284">
        <f t="shared" ca="1" si="51"/>
        <v>0</v>
      </c>
      <c r="J314" s="287" t="s">
        <v>336</v>
      </c>
      <c r="W314" s="278" t="str">
        <f ca="1">AB314&amp;"-"&amp;COUNTIF($AB$2:$AB314,$AB314)</f>
        <v>0-3-0-76</v>
      </c>
      <c r="X314" s="278" t="s">
        <v>336</v>
      </c>
      <c r="Y314" s="289">
        <f t="shared" ca="1" si="54"/>
        <v>0</v>
      </c>
      <c r="Z314" s="271">
        <v>3</v>
      </c>
      <c r="AA314" s="277">
        <f t="shared" ca="1" si="48"/>
        <v>0</v>
      </c>
      <c r="AB314" s="279" t="str">
        <f t="shared" ca="1" si="52"/>
        <v>0-3-0</v>
      </c>
    </row>
    <row r="315" spans="1:28" x14ac:dyDescent="0.25">
      <c r="A315" s="281" t="s">
        <v>80</v>
      </c>
      <c r="B315" s="281" t="s">
        <v>119</v>
      </c>
      <c r="C315" s="281" t="s">
        <v>337</v>
      </c>
      <c r="D315" s="281" t="s">
        <v>126</v>
      </c>
      <c r="E315" s="281">
        <v>1</v>
      </c>
      <c r="F315" s="222" t="str">
        <f t="shared" si="49"/>
        <v>WORKFORCE-41</v>
      </c>
      <c r="G315" s="222">
        <f t="shared" si="47"/>
        <v>1</v>
      </c>
      <c r="H315" s="284">
        <f t="shared" ca="1" si="50"/>
        <v>0</v>
      </c>
      <c r="I315" s="284">
        <f t="shared" ca="1" si="51"/>
        <v>0</v>
      </c>
      <c r="J315" s="287" t="s">
        <v>337</v>
      </c>
      <c r="W315" s="278" t="str">
        <f ca="1">AB315&amp;"-"&amp;COUNTIF($AB$2:$AB315,$AB315)</f>
        <v>0-1-0-60</v>
      </c>
      <c r="X315" s="278" t="s">
        <v>337</v>
      </c>
      <c r="Y315" s="289">
        <f t="shared" ca="1" si="54"/>
        <v>0</v>
      </c>
      <c r="Z315" s="271">
        <v>1</v>
      </c>
      <c r="AA315" s="277">
        <f t="shared" ca="1" si="48"/>
        <v>0</v>
      </c>
      <c r="AB315" s="279" t="str">
        <f t="shared" ca="1" si="52"/>
        <v>0-1-0</v>
      </c>
    </row>
    <row r="316" spans="1:28" x14ac:dyDescent="0.25">
      <c r="A316" s="281" t="s">
        <v>80</v>
      </c>
      <c r="B316" s="281" t="s">
        <v>119</v>
      </c>
      <c r="C316" s="281" t="s">
        <v>338</v>
      </c>
      <c r="D316" s="281" t="s">
        <v>129</v>
      </c>
      <c r="E316" s="281">
        <v>2</v>
      </c>
      <c r="F316" s="222" t="str">
        <f t="shared" si="49"/>
        <v>WORKFORCE-42</v>
      </c>
      <c r="G316" s="222">
        <f t="shared" si="47"/>
        <v>2</v>
      </c>
      <c r="H316" s="284">
        <f t="shared" ca="1" si="50"/>
        <v>0</v>
      </c>
      <c r="I316" s="284">
        <f t="shared" ca="1" si="51"/>
        <v>0</v>
      </c>
      <c r="J316" s="287" t="s">
        <v>338</v>
      </c>
      <c r="W316" s="278" t="str">
        <f ca="1">AB316&amp;"-"&amp;COUNTIF($AB$2:$AB316,$AB316)</f>
        <v>0-2-0-99</v>
      </c>
      <c r="X316" s="278" t="s">
        <v>338</v>
      </c>
      <c r="Y316" s="289">
        <f t="shared" ca="1" si="54"/>
        <v>0</v>
      </c>
      <c r="Z316" s="271">
        <v>2</v>
      </c>
      <c r="AA316" s="277">
        <f t="shared" ca="1" si="48"/>
        <v>0</v>
      </c>
      <c r="AB316" s="279" t="str">
        <f t="shared" ca="1" si="52"/>
        <v>0-2-0</v>
      </c>
    </row>
    <row r="317" spans="1:28" x14ac:dyDescent="0.25">
      <c r="A317" s="281" t="s">
        <v>80</v>
      </c>
      <c r="B317" s="281" t="s">
        <v>119</v>
      </c>
      <c r="C317" s="281" t="s">
        <v>339</v>
      </c>
      <c r="D317" s="281" t="s">
        <v>132</v>
      </c>
      <c r="E317" s="281">
        <v>2</v>
      </c>
      <c r="F317" s="222" t="str">
        <f t="shared" si="49"/>
        <v>WORKFORCE-42</v>
      </c>
      <c r="G317" s="222">
        <f t="shared" si="47"/>
        <v>2</v>
      </c>
      <c r="H317" s="284">
        <f t="shared" ca="1" si="50"/>
        <v>0</v>
      </c>
      <c r="I317" s="284">
        <f t="shared" ca="1" si="51"/>
        <v>0</v>
      </c>
      <c r="J317" s="287" t="s">
        <v>339</v>
      </c>
      <c r="W317" s="278" t="str">
        <f ca="1">AB317&amp;"-"&amp;COUNTIF($AB$2:$AB317,$AB317)</f>
        <v>0-2-0-100</v>
      </c>
      <c r="X317" s="278" t="s">
        <v>339</v>
      </c>
      <c r="Y317" s="289">
        <f t="shared" ca="1" si="54"/>
        <v>0</v>
      </c>
      <c r="Z317" s="271">
        <v>2</v>
      </c>
      <c r="AA317" s="277">
        <f t="shared" ca="1" si="48"/>
        <v>0</v>
      </c>
      <c r="AB317" s="279" t="str">
        <f t="shared" ca="1" si="52"/>
        <v>0-2-0</v>
      </c>
    </row>
    <row r="318" spans="1:28" x14ac:dyDescent="0.25">
      <c r="A318" s="281" t="s">
        <v>80</v>
      </c>
      <c r="B318" s="281" t="s">
        <v>119</v>
      </c>
      <c r="C318" s="281" t="s">
        <v>340</v>
      </c>
      <c r="D318" s="281" t="s">
        <v>135</v>
      </c>
      <c r="E318" s="281">
        <v>3</v>
      </c>
      <c r="F318" s="222" t="str">
        <f t="shared" si="49"/>
        <v>WORKFORCE-43</v>
      </c>
      <c r="G318" s="222">
        <f t="shared" si="47"/>
        <v>2</v>
      </c>
      <c r="H318" s="284">
        <f t="shared" ca="1" si="50"/>
        <v>0</v>
      </c>
      <c r="I318" s="284">
        <f t="shared" ca="1" si="51"/>
        <v>0</v>
      </c>
      <c r="J318" s="287" t="s">
        <v>340</v>
      </c>
      <c r="W318" s="278" t="str">
        <f ca="1">AB318&amp;"-"&amp;COUNTIF($AB$2:$AB318,$AB318)</f>
        <v>0-3-0-77</v>
      </c>
      <c r="X318" s="278" t="s">
        <v>340</v>
      </c>
      <c r="Y318" s="289">
        <f t="shared" ca="1" si="54"/>
        <v>0</v>
      </c>
      <c r="Z318" s="271">
        <v>3</v>
      </c>
      <c r="AA318" s="277">
        <f t="shared" ca="1" si="48"/>
        <v>0</v>
      </c>
      <c r="AB318" s="279" t="str">
        <f t="shared" ca="1" si="52"/>
        <v>0-3-0</v>
      </c>
    </row>
    <row r="319" spans="1:28" x14ac:dyDescent="0.25">
      <c r="A319" s="281" t="s">
        <v>80</v>
      </c>
      <c r="B319" s="281" t="s">
        <v>119</v>
      </c>
      <c r="C319" s="281" t="s">
        <v>341</v>
      </c>
      <c r="D319" s="281" t="s">
        <v>138</v>
      </c>
      <c r="E319" s="281">
        <v>3</v>
      </c>
      <c r="F319" s="222" t="str">
        <f t="shared" si="49"/>
        <v>WORKFORCE-43</v>
      </c>
      <c r="G319" s="222">
        <f t="shared" si="47"/>
        <v>2</v>
      </c>
      <c r="H319" s="284">
        <f t="shared" ca="1" si="50"/>
        <v>0</v>
      </c>
      <c r="I319" s="284">
        <f t="shared" ca="1" si="51"/>
        <v>0</v>
      </c>
      <c r="J319" s="287" t="s">
        <v>341</v>
      </c>
      <c r="W319" s="278" t="str">
        <f ca="1">AB319&amp;"-"&amp;COUNTIF($AB$2:$AB319,$AB319)</f>
        <v>0-3-0-78</v>
      </c>
      <c r="X319" s="278" t="s">
        <v>341</v>
      </c>
      <c r="Y319" s="289">
        <f t="shared" ca="1" si="54"/>
        <v>0</v>
      </c>
      <c r="Z319" s="271">
        <v>3</v>
      </c>
      <c r="AA319" s="277">
        <f t="shared" ca="1" si="48"/>
        <v>0</v>
      </c>
      <c r="AB319" s="279" t="str">
        <f t="shared" ca="1" si="52"/>
        <v>0-3-0</v>
      </c>
    </row>
    <row r="320" spans="1:28" x14ac:dyDescent="0.25">
      <c r="A320" s="281" t="s">
        <v>80</v>
      </c>
      <c r="B320" s="281" t="s">
        <v>121</v>
      </c>
      <c r="C320" s="281" t="s">
        <v>342</v>
      </c>
      <c r="D320" s="281" t="s">
        <v>143</v>
      </c>
      <c r="E320" s="281">
        <v>2</v>
      </c>
      <c r="F320" s="222" t="str">
        <f t="shared" si="49"/>
        <v>WORKFORCE-52</v>
      </c>
      <c r="G320" s="222">
        <f t="shared" si="47"/>
        <v>4</v>
      </c>
      <c r="H320" s="284">
        <f t="shared" ca="1" si="50"/>
        <v>0</v>
      </c>
      <c r="I320" s="284">
        <f t="shared" ca="1" si="51"/>
        <v>0</v>
      </c>
      <c r="J320" s="287" t="s">
        <v>342</v>
      </c>
      <c r="W320" s="278" t="str">
        <f ca="1">AB320&amp;"-"&amp;COUNTIF($AB$2:$AB320,$AB320)</f>
        <v>1-2-0-44</v>
      </c>
      <c r="X320" s="278" t="s">
        <v>342</v>
      </c>
      <c r="Y320" s="289">
        <f t="shared" ca="1" si="54"/>
        <v>1</v>
      </c>
      <c r="Z320" s="271">
        <v>2</v>
      </c>
      <c r="AA320" s="277">
        <f t="shared" ca="1" si="48"/>
        <v>0</v>
      </c>
      <c r="AB320" s="279" t="str">
        <f t="shared" ca="1" si="52"/>
        <v>1-2-0</v>
      </c>
    </row>
    <row r="321" spans="1:28" x14ac:dyDescent="0.25">
      <c r="A321" s="281" t="s">
        <v>80</v>
      </c>
      <c r="B321" s="281" t="s">
        <v>121</v>
      </c>
      <c r="C321" s="281" t="s">
        <v>343</v>
      </c>
      <c r="D321" s="281" t="s">
        <v>146</v>
      </c>
      <c r="E321" s="281">
        <v>2</v>
      </c>
      <c r="F321" s="222" t="str">
        <f t="shared" si="49"/>
        <v>WORKFORCE-52</v>
      </c>
      <c r="G321" s="222">
        <f t="shared" si="47"/>
        <v>4</v>
      </c>
      <c r="H321" s="284">
        <f t="shared" ca="1" si="50"/>
        <v>0</v>
      </c>
      <c r="I321" s="284">
        <f t="shared" ca="1" si="51"/>
        <v>0</v>
      </c>
      <c r="J321" s="287" t="s">
        <v>343</v>
      </c>
      <c r="W321" s="278" t="str">
        <f ca="1">AB321&amp;"-"&amp;COUNTIF($AB$2:$AB321,$AB321)</f>
        <v>1-2-0-45</v>
      </c>
      <c r="X321" s="278" t="s">
        <v>343</v>
      </c>
      <c r="Y321" s="289">
        <f t="shared" ca="1" si="54"/>
        <v>1</v>
      </c>
      <c r="Z321" s="271">
        <v>2</v>
      </c>
      <c r="AA321" s="277">
        <f t="shared" ca="1" si="48"/>
        <v>0</v>
      </c>
      <c r="AB321" s="279" t="str">
        <f t="shared" ca="1" si="52"/>
        <v>1-2-0</v>
      </c>
    </row>
    <row r="322" spans="1:28" x14ac:dyDescent="0.25">
      <c r="A322" s="281" t="s">
        <v>80</v>
      </c>
      <c r="B322" s="281" t="s">
        <v>121</v>
      </c>
      <c r="C322" s="281" t="s">
        <v>344</v>
      </c>
      <c r="D322" s="281" t="s">
        <v>149</v>
      </c>
      <c r="E322" s="281">
        <v>2</v>
      </c>
      <c r="F322" s="222" t="str">
        <f t="shared" si="49"/>
        <v>WORKFORCE-52</v>
      </c>
      <c r="G322" s="222">
        <f t="shared" si="47"/>
        <v>4</v>
      </c>
      <c r="H322" s="284">
        <f t="shared" ca="1" si="50"/>
        <v>0</v>
      </c>
      <c r="I322" s="284">
        <f t="shared" ca="1" si="51"/>
        <v>0</v>
      </c>
      <c r="J322" s="287" t="s">
        <v>344</v>
      </c>
      <c r="W322" s="278" t="str">
        <f ca="1">AB322&amp;"-"&amp;COUNTIF($AB$2:$AB322,$AB322)</f>
        <v>1-2-0-46</v>
      </c>
      <c r="X322" s="278" t="s">
        <v>344</v>
      </c>
      <c r="Y322" s="289">
        <f t="shared" ca="1" si="54"/>
        <v>1</v>
      </c>
      <c r="Z322" s="271">
        <v>2</v>
      </c>
      <c r="AA322" s="277">
        <f t="shared" ca="1" si="48"/>
        <v>0</v>
      </c>
      <c r="AB322" s="279" t="str">
        <f t="shared" ca="1" si="52"/>
        <v>1-2-0</v>
      </c>
    </row>
    <row r="323" spans="1:28" x14ac:dyDescent="0.25">
      <c r="A323" s="281" t="s">
        <v>80</v>
      </c>
      <c r="B323" s="281" t="s">
        <v>121</v>
      </c>
      <c r="C323" s="281" t="s">
        <v>345</v>
      </c>
      <c r="D323" s="281" t="s">
        <v>152</v>
      </c>
      <c r="E323" s="281">
        <v>2</v>
      </c>
      <c r="F323" s="222" t="str">
        <f t="shared" si="49"/>
        <v>WORKFORCE-52</v>
      </c>
      <c r="G323" s="222">
        <f t="shared" si="47"/>
        <v>4</v>
      </c>
      <c r="H323" s="284">
        <f t="shared" ca="1" si="50"/>
        <v>0</v>
      </c>
      <c r="I323" s="284">
        <f t="shared" ref="I323:I326" ca="1" si="55">IFERROR(IF(H323&gt;2,1,0),0)</f>
        <v>0</v>
      </c>
      <c r="J323" s="287" t="s">
        <v>345</v>
      </c>
      <c r="W323" s="278" t="str">
        <f ca="1">AB323&amp;"-"&amp;COUNTIF($AB$2:$AB323,$AB323)</f>
        <v>1-2-0-47</v>
      </c>
      <c r="X323" s="278" t="s">
        <v>345</v>
      </c>
      <c r="Y323" s="289">
        <f t="shared" ca="1" si="54"/>
        <v>1</v>
      </c>
      <c r="Z323" s="271">
        <v>2</v>
      </c>
      <c r="AA323" s="277">
        <f t="shared" ca="1" si="48"/>
        <v>0</v>
      </c>
      <c r="AB323" s="279" t="str">
        <f t="shared" ca="1" si="52"/>
        <v>1-2-0</v>
      </c>
    </row>
    <row r="324" spans="1:28" x14ac:dyDescent="0.25">
      <c r="A324" s="281" t="s">
        <v>80</v>
      </c>
      <c r="B324" s="281" t="s">
        <v>121</v>
      </c>
      <c r="C324" s="281" t="s">
        <v>346</v>
      </c>
      <c r="D324" s="281" t="s">
        <v>154</v>
      </c>
      <c r="E324" s="281">
        <v>3</v>
      </c>
      <c r="F324" s="222" t="str">
        <f t="shared" si="49"/>
        <v>WORKFORCE-53</v>
      </c>
      <c r="G324" s="222">
        <f t="shared" si="47"/>
        <v>3</v>
      </c>
      <c r="H324" s="284">
        <f t="shared" ca="1" si="50"/>
        <v>0</v>
      </c>
      <c r="I324" s="284">
        <f t="shared" ca="1" si="55"/>
        <v>0</v>
      </c>
      <c r="J324" s="287" t="s">
        <v>346</v>
      </c>
      <c r="W324" s="278" t="str">
        <f ca="1">AB324&amp;"-"&amp;COUNTIF($AB$2:$AB324,$AB324)</f>
        <v>1-3-0-38</v>
      </c>
      <c r="X324" s="278" t="s">
        <v>346</v>
      </c>
      <c r="Y324" s="289">
        <f t="shared" ca="1" si="54"/>
        <v>1</v>
      </c>
      <c r="Z324" s="271">
        <v>3</v>
      </c>
      <c r="AA324" s="277">
        <f t="shared" ca="1" si="48"/>
        <v>0</v>
      </c>
      <c r="AB324" s="279" t="str">
        <f t="shared" ref="AB324:AB326" ca="1" si="56">Y324&amp;"-"&amp;Z324&amp;"-"&amp;AA324</f>
        <v>1-3-0</v>
      </c>
    </row>
    <row r="325" spans="1:28" x14ac:dyDescent="0.25">
      <c r="A325" s="281" t="s">
        <v>80</v>
      </c>
      <c r="B325" s="281" t="s">
        <v>121</v>
      </c>
      <c r="C325" s="281" t="s">
        <v>347</v>
      </c>
      <c r="D325" s="281" t="s">
        <v>156</v>
      </c>
      <c r="E325" s="281">
        <v>3</v>
      </c>
      <c r="F325" s="222" t="str">
        <f t="shared" si="49"/>
        <v>WORKFORCE-53</v>
      </c>
      <c r="G325" s="222">
        <f t="shared" si="47"/>
        <v>3</v>
      </c>
      <c r="H325" s="284">
        <f t="shared" ca="1" si="50"/>
        <v>0</v>
      </c>
      <c r="I325" s="284">
        <f t="shared" ca="1" si="55"/>
        <v>0</v>
      </c>
      <c r="J325" s="287" t="s">
        <v>347</v>
      </c>
      <c r="W325" s="278" t="str">
        <f ca="1">AB325&amp;"-"&amp;COUNTIF($AB$2:$AB325,$AB325)</f>
        <v>1-3-0-39</v>
      </c>
      <c r="X325" s="278" t="s">
        <v>347</v>
      </c>
      <c r="Y325" s="289">
        <f t="shared" ca="1" si="54"/>
        <v>1</v>
      </c>
      <c r="Z325" s="271">
        <v>3</v>
      </c>
      <c r="AA325" s="277">
        <f t="shared" ca="1" si="48"/>
        <v>0</v>
      </c>
      <c r="AB325" s="279" t="str">
        <f t="shared" ca="1" si="56"/>
        <v>1-3-0</v>
      </c>
    </row>
    <row r="326" spans="1:28" x14ac:dyDescent="0.25">
      <c r="A326" s="281" t="s">
        <v>80</v>
      </c>
      <c r="B326" s="281" t="s">
        <v>121</v>
      </c>
      <c r="C326" s="281" t="s">
        <v>348</v>
      </c>
      <c r="D326" s="281" t="s">
        <v>159</v>
      </c>
      <c r="E326" s="281">
        <v>3</v>
      </c>
      <c r="F326" s="222" t="str">
        <f t="shared" si="49"/>
        <v>WORKFORCE-53</v>
      </c>
      <c r="G326" s="222">
        <f t="shared" si="47"/>
        <v>3</v>
      </c>
      <c r="H326" s="284">
        <f t="shared" ca="1" si="50"/>
        <v>0</v>
      </c>
      <c r="I326" s="284">
        <f t="shared" ca="1" si="55"/>
        <v>0</v>
      </c>
      <c r="J326" s="287" t="s">
        <v>348</v>
      </c>
      <c r="W326" s="278" t="str">
        <f ca="1">AB326&amp;"-"&amp;COUNTIF($AB$2:$AB326,$AB326)</f>
        <v>1-3-0-40</v>
      </c>
      <c r="X326" s="278" t="s">
        <v>348</v>
      </c>
      <c r="Y326" s="289">
        <f t="shared" ca="1" si="54"/>
        <v>1</v>
      </c>
      <c r="Z326" s="271">
        <v>3</v>
      </c>
      <c r="AA326" s="277">
        <f t="shared" ca="1" si="48"/>
        <v>0</v>
      </c>
      <c r="AB326" s="279" t="str">
        <f t="shared" ca="1" si="56"/>
        <v>1-3-0</v>
      </c>
    </row>
  </sheetData>
  <sheetProtection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55"/>
  <sheetViews>
    <sheetView showGridLines="0" zoomScaleNormal="100" workbookViewId="0">
      <selection activeCell="I13" sqref="I13"/>
    </sheetView>
  </sheetViews>
  <sheetFormatPr defaultColWidth="9.28515625" defaultRowHeight="11.5" x14ac:dyDescent="0.25"/>
  <cols>
    <col min="1" max="2" width="1.640625" style="303" customWidth="1"/>
    <col min="3" max="3" width="2.640625" style="303" customWidth="1"/>
    <col min="4" max="4" width="2.640625" style="518" customWidth="1"/>
    <col min="5" max="5" width="38.7109375" style="303" customWidth="1"/>
    <col min="6" max="6" width="3.640625" style="303" customWidth="1"/>
    <col min="7" max="7" width="16.640625" style="451" customWidth="1"/>
    <col min="8" max="8" width="2.640625" style="519" customWidth="1"/>
    <col min="9" max="9" width="14.640625" style="451" customWidth="1"/>
    <col min="10" max="10" width="45.640625" style="520" customWidth="1"/>
    <col min="11" max="11" width="1.640625" style="303" customWidth="1"/>
    <col min="12" max="12" width="1.640625" style="521" customWidth="1"/>
    <col min="13" max="13" width="1.640625" style="522" customWidth="1"/>
    <col min="14" max="14" width="1.640625" style="521" customWidth="1"/>
    <col min="15" max="15" width="9.0703125" style="301" customWidth="1"/>
    <col min="16" max="16" width="9.0703125" style="440" customWidth="1"/>
    <col min="17" max="17" width="9.0703125" style="303" customWidth="1"/>
    <col min="18" max="16384" width="9.28515625" style="303"/>
  </cols>
  <sheetData>
    <row r="1" spans="1:16" x14ac:dyDescent="0.25">
      <c r="A1" s="297"/>
      <c r="B1" s="297"/>
      <c r="C1" s="297"/>
      <c r="D1" s="297"/>
      <c r="E1" s="297"/>
      <c r="F1" s="297"/>
      <c r="G1" s="438"/>
      <c r="H1" s="439"/>
      <c r="I1" s="438"/>
      <c r="J1" s="438"/>
      <c r="K1" s="297"/>
      <c r="L1" s="297"/>
      <c r="M1" s="300"/>
      <c r="N1" s="297"/>
    </row>
    <row r="2" spans="1:16" s="448" customFormat="1" ht="25" customHeight="1" x14ac:dyDescent="0.3">
      <c r="A2" s="441"/>
      <c r="B2" s="305"/>
      <c r="C2" s="442" t="s">
        <v>60</v>
      </c>
      <c r="D2" s="308"/>
      <c r="E2" s="443"/>
      <c r="F2" s="443"/>
      <c r="G2" s="443"/>
      <c r="H2" s="309"/>
      <c r="I2" s="444"/>
      <c r="J2" s="444"/>
      <c r="K2" s="310"/>
      <c r="L2" s="441"/>
      <c r="M2" s="445"/>
      <c r="N2" s="441"/>
      <c r="O2" s="446"/>
      <c r="P2" s="447"/>
    </row>
    <row r="3" spans="1:16" ht="25" customHeight="1" x14ac:dyDescent="0.35">
      <c r="A3" s="297"/>
      <c r="B3" s="323"/>
      <c r="C3" s="321" t="str">
        <f>IF(VLOOKUP($C$2,Languages!$A:$D,1,TRUE)=$C$2,VLOOKUP($C$2,Languages!$A:$D,Kybermittari!$C$7,TRUE),NA())</f>
        <v>Kriittisten palveluiden suojaaminen</v>
      </c>
      <c r="D3" s="449"/>
      <c r="E3" s="450"/>
      <c r="H3" s="452"/>
      <c r="I3" s="453"/>
      <c r="J3" s="453"/>
      <c r="K3" s="327"/>
      <c r="L3" s="297"/>
      <c r="M3" s="454"/>
      <c r="N3" s="297"/>
    </row>
    <row r="4" spans="1:16" ht="10" customHeight="1" x14ac:dyDescent="0.25">
      <c r="A4" s="297"/>
      <c r="B4" s="323"/>
      <c r="C4" s="455"/>
      <c r="D4" s="325"/>
      <c r="E4" s="325"/>
      <c r="F4" s="325"/>
      <c r="G4" s="325"/>
      <c r="H4" s="326"/>
      <c r="I4" s="326"/>
      <c r="J4" s="453"/>
      <c r="K4" s="327"/>
      <c r="L4" s="297"/>
      <c r="M4" s="454"/>
      <c r="N4" s="297"/>
    </row>
    <row r="5" spans="1:16" ht="34.5" customHeight="1" x14ac:dyDescent="0.25">
      <c r="A5" s="297"/>
      <c r="B5" s="323"/>
      <c r="C5" s="758" t="str">
        <f>IF(VLOOKUP(CONCATENATE(C2,"-0"),Languages!$A:$D,1,TRUE)=CONCATENATE(C2,"-0"),VLOOKUP(CONCATENATE(C2,"-0"),Languages!$A:$D,Kybermittari!$C$7,TRUE),NA())</f>
        <v>Organisaation tulee tunnistaa oma roolinsa yhteiskunnan kannalta kriittisten palveluiden tuottamisessa ja hallita riskejä sen mukaisesti.</v>
      </c>
      <c r="D5" s="758"/>
      <c r="E5" s="758"/>
      <c r="F5" s="758"/>
      <c r="G5" s="758"/>
      <c r="H5" s="758"/>
      <c r="I5" s="758"/>
      <c r="J5" s="758"/>
      <c r="K5" s="327"/>
      <c r="L5" s="297"/>
      <c r="M5" s="454"/>
      <c r="N5" s="297"/>
    </row>
    <row r="6" spans="1:16" ht="20" customHeight="1" x14ac:dyDescent="0.25">
      <c r="A6" s="297"/>
      <c r="B6" s="323"/>
      <c r="C6" s="456">
        <v>1</v>
      </c>
      <c r="D6" s="457" t="s">
        <v>2</v>
      </c>
      <c r="E6" s="458" t="str">
        <f>IF(VLOOKUP(CONCATENATE($C$2,"-",C6),Languages!$A:$D,1,TRUE)=CONCATENATE($C$2,"-",C6),VLOOKUP(CONCATENATE($C$2,"-",C6),Languages!$A:$D,Kybermittari!$C$7,TRUE),NA())</f>
        <v>Kriittisten palveluiden ja niiden riippuvuuksien tunnistaminen</v>
      </c>
      <c r="F6" s="374"/>
      <c r="G6" s="374"/>
      <c r="H6" s="374"/>
      <c r="I6" s="459" t="str">
        <f ca="1">VLOOKUP(VLOOKUP(CONCATENATE($C$2,"-",$C6),Data!$K:$O,5,FALSE),Parameters!$C$7:$F$10,Kybermittari!$C$7,FALSE)</f>
        <v>Kypsyystaso 0</v>
      </c>
      <c r="J6" s="460" t="str">
        <f>IF(VLOOKUP("GEN-TOTAL",Languages!$A:$D,1,TRUE)="GEN-TOTAL",VLOOKUP("GEN-TOTAL",Languages!$A:$D,Kybermittari!$C$7,TRUE),NA())</f>
        <v>Kokonaisarvio</v>
      </c>
      <c r="K6" s="327"/>
      <c r="L6" s="297"/>
      <c r="M6" s="454"/>
      <c r="N6" s="297"/>
    </row>
    <row r="7" spans="1:16" ht="20" customHeight="1" x14ac:dyDescent="0.25">
      <c r="A7" s="297"/>
      <c r="B7" s="323"/>
      <c r="C7" s="456">
        <v>2</v>
      </c>
      <c r="D7" s="457" t="s">
        <v>2</v>
      </c>
      <c r="E7" s="458" t="str">
        <f>IF(VLOOKUP(CONCATENATE($C$2,"-",C7),Languages!$A:$D,1,TRUE)=CONCATENATE($C$2,"-",C7),VLOOKUP(CONCATENATE($C$2,"-",C7),Languages!$A:$D,Kybermittari!$C$7,TRUE),NA())</f>
        <v>Kriittisten palveluiden hallinta</v>
      </c>
      <c r="F7" s="374"/>
      <c r="G7" s="374"/>
      <c r="H7" s="374"/>
      <c r="I7" s="459" t="str">
        <f ca="1">VLOOKUP(VLOOKUP(CONCATENATE($C$2,"-",$C7),Data!$K:$O,5,FALSE),Parameters!$C$7:$F$10,Kybermittari!$C$7,FALSE)</f>
        <v>Kypsyystaso 0</v>
      </c>
      <c r="J7" s="452" t="str">
        <f ca="1">VLOOKUP(VLOOKUP(CONCATENATE($C$2),Data!$K:$O,5,FALSE),Parameters!$C$7:$F$10,Kybermittari!$C$7,FALSE)</f>
        <v>Kypsyystaso 0</v>
      </c>
      <c r="K7" s="327"/>
      <c r="L7" s="297"/>
      <c r="M7" s="454"/>
      <c r="N7" s="297"/>
    </row>
    <row r="8" spans="1:16" ht="20" customHeight="1" x14ac:dyDescent="0.25">
      <c r="A8" s="297"/>
      <c r="B8" s="323"/>
      <c r="C8" s="456">
        <v>3</v>
      </c>
      <c r="D8" s="457" t="s">
        <v>2</v>
      </c>
      <c r="E8" s="458" t="str">
        <f>IF(VLOOKUP(CONCATENATE($C$2,"-",C8),Languages!$A:$D,1,TRUE)=CONCATENATE($C$2,"-",C8),VLOOKUP(CONCATENATE($C$2,"-",C8),Languages!$A:$D,Kybermittari!$C$7,TRUE),NA())</f>
        <v>Kriittisten palveluiden kyberhäiriöiden vaikutusten minimointi</v>
      </c>
      <c r="F8" s="374"/>
      <c r="G8" s="374"/>
      <c r="H8" s="374"/>
      <c r="I8" s="459" t="str">
        <f ca="1">VLOOKUP(VLOOKUP(CONCATENATE($C$2,"-",$C8),Data!$K:$O,5,FALSE),Parameters!$C$7:$F$10,Kybermittari!$C$7,FALSE)</f>
        <v>Kypsyystaso 0</v>
      </c>
      <c r="J8" s="374"/>
      <c r="K8" s="327"/>
      <c r="L8" s="297"/>
      <c r="M8" s="454"/>
      <c r="N8" s="297"/>
    </row>
    <row r="9" spans="1:16" s="343" customFormat="1" ht="30" customHeight="1" x14ac:dyDescent="0.3">
      <c r="A9" s="332"/>
      <c r="B9" s="461"/>
      <c r="C9" s="462">
        <v>1</v>
      </c>
      <c r="D9" s="462" t="str">
        <f>IF(VLOOKUP(CONCATENATE($C$2,"-",C9),Languages!$A:$D,1,TRUE)=CONCATENATE($C$2,"-",C9),VLOOKUP(CONCATENATE($C$2,"-",C9),Languages!$A:$D,Kybermittari!$C$7,TRUE),NA())</f>
        <v>Kriittisten palveluiden ja niiden riippuvuuksien tunnistaminen</v>
      </c>
      <c r="E9" s="336"/>
      <c r="F9" s="463"/>
      <c r="G9" s="463"/>
      <c r="H9" s="464"/>
      <c r="I9" s="464"/>
      <c r="J9" s="465"/>
      <c r="K9" s="466"/>
      <c r="L9" s="467"/>
      <c r="M9" s="454"/>
      <c r="N9" s="332"/>
      <c r="O9" s="341"/>
      <c r="P9" s="468"/>
    </row>
    <row r="10" spans="1:16" s="475" customFormat="1" ht="35" customHeight="1" x14ac:dyDescent="0.3">
      <c r="A10" s="469"/>
      <c r="B10" s="470"/>
      <c r="C10" s="753" t="str">
        <f>IF(VLOOKUP(CONCATENATE($C$2,"-",$C9,"-0"),Languages!$A:$D,1,TRUE)=CONCATENATE($C$2,"-",$C9,"-0"),VLOOKUP(CONCATENATE($C$2,"-",$C9,"-0"),Languages!$A:$D,Kybermittari!$C$7,TRUE),NA())</f>
        <v>Organisaation tulee tunnistaa oma roolinsa yhteiskunnan kannalta kriittisten palveluiden tuottamisessa, tietää mitä näiden palveluiden tuottaminen vaatii ja ymmärtää millaiset vaikutukset palveluiden vikaantumisella saattaisi olla.</v>
      </c>
      <c r="D10" s="753"/>
      <c r="E10" s="753"/>
      <c r="F10" s="753"/>
      <c r="G10" s="753"/>
      <c r="H10" s="753"/>
      <c r="I10" s="753"/>
      <c r="J10" s="753"/>
      <c r="K10" s="471"/>
      <c r="L10" s="469"/>
      <c r="M10" s="472"/>
      <c r="N10" s="469"/>
      <c r="O10" s="473"/>
      <c r="P10" s="474"/>
    </row>
    <row r="11" spans="1:16" s="486" customFormat="1" ht="20" customHeight="1" x14ac:dyDescent="0.3">
      <c r="A11" s="523"/>
      <c r="B11" s="476"/>
      <c r="C11" s="477" t="str">
        <f>IF(VLOOKUP("GEN-LEVEL",Languages!$A:$D,1,TRUE)="GEN-LEVEL",VLOOKUP("GEN-LEVEL",Languages!$A:$D,Kybermittari!$C$7,TRUE),NA())</f>
        <v>Taso</v>
      </c>
      <c r="D11" s="477"/>
      <c r="E11" s="478" t="str">
        <f>IF(VLOOKUP("GEN-PRACTICE",Languages!$A:$D,1,TRUE)="GEN-PRACTICE",VLOOKUP("GEN-PRACTICE",Languages!$A:$D,Kybermittari!$C$7,TRUE),NA())</f>
        <v>Käytäntö</v>
      </c>
      <c r="F11" s="479"/>
      <c r="G11" s="480"/>
      <c r="H11" s="481"/>
      <c r="I11" s="478" t="str">
        <f>IF(VLOOKUP("GEN-ANSWER",Languages!$A:$D,1,TRUE)="GEN-ANSWER",VLOOKUP("GEN-ANSWER",Languages!$A:$D,Kybermittari!$C$7,TRUE),NA())</f>
        <v>Vastaus</v>
      </c>
      <c r="J11" s="480" t="str">
        <f>IF(VLOOKUP("GEN-COMMENT",Languages!$A:$D,1,TRUE)="GEN-COMMENT",VLOOKUP("GEN-COMMENT",Languages!$A:$D,Kybermittari!$C$7,TRUE),NA())</f>
        <v>Kommentti ja viittaukset</v>
      </c>
      <c r="K11" s="482"/>
      <c r="L11" s="483"/>
      <c r="M11" s="472"/>
      <c r="N11" s="523"/>
      <c r="O11" s="484"/>
      <c r="P11" s="485"/>
    </row>
    <row r="12" spans="1:16" s="486" customFormat="1" ht="10" customHeight="1" x14ac:dyDescent="0.3">
      <c r="A12" s="523"/>
      <c r="B12" s="476"/>
      <c r="C12" s="487"/>
      <c r="D12" s="487"/>
      <c r="E12" s="488"/>
      <c r="F12" s="489"/>
      <c r="G12" s="490"/>
      <c r="H12" s="491"/>
      <c r="I12" s="488"/>
      <c r="J12" s="490"/>
      <c r="K12" s="482"/>
      <c r="L12" s="483"/>
      <c r="M12" s="472"/>
      <c r="N12" s="523"/>
      <c r="O12" s="484"/>
      <c r="P12" s="485"/>
    </row>
    <row r="13" spans="1:16" s="495" customFormat="1" ht="35" customHeight="1" x14ac:dyDescent="0.3">
      <c r="A13" s="469"/>
      <c r="B13" s="757"/>
      <c r="C13" s="751">
        <v>1</v>
      </c>
      <c r="D13" s="492" t="s">
        <v>7</v>
      </c>
      <c r="E13" s="750" t="str">
        <f>IF(VLOOKUP(CONCATENATE($C$2,"-",$D13),Languages!$A:$D,1,TRUE)=CONCATENATE($C$2,"-",$D13),VLOOKUP(CONCATENATE($C$2,"-",$D13),Languages!$A:$D,Kybermittari!$C$7,TRUE),NA())</f>
        <v>Organisaation tuottamat yhteiskunnalle kriittiset palvelut on tunnistettu ja dokumentoitu.</v>
      </c>
      <c r="F13" s="750"/>
      <c r="G13" s="750"/>
      <c r="H13" s="493">
        <f>IFERROR(INT(LEFT($I13,1)),0)</f>
        <v>0</v>
      </c>
      <c r="I13" s="54"/>
      <c r="J13" s="526"/>
      <c r="K13" s="494"/>
      <c r="L13" s="469"/>
      <c r="M13" s="472"/>
      <c r="N13" s="469"/>
      <c r="P13" s="496"/>
    </row>
    <row r="14" spans="1:16" s="495" customFormat="1" ht="35" customHeight="1" x14ac:dyDescent="0.3">
      <c r="A14" s="469"/>
      <c r="B14" s="757"/>
      <c r="C14" s="754"/>
      <c r="D14" s="492" t="s">
        <v>9</v>
      </c>
      <c r="E14" s="750" t="str">
        <f>IF(VLOOKUP(CONCATENATE($C$2,"-",$D14),Languages!$A:$D,1,TRUE)=CONCATENATE($C$2,"-",$D14),VLOOKUP(CONCATENATE($C$2,"-",$D14),Languages!$A:$D,Kybermittari!$C$7,TRUE),NA())</f>
        <v>(Yhteiskunnalle kriittisten) palveluiden tuottamiseen tarvittava data on tunnistettu ja dokumentoitu.</v>
      </c>
      <c r="F14" s="750"/>
      <c r="G14" s="750"/>
      <c r="H14" s="493">
        <f>IFERROR(INT(LEFT($I14,1)),0)</f>
        <v>0</v>
      </c>
      <c r="I14" s="54"/>
      <c r="J14" s="526"/>
      <c r="K14" s="494"/>
      <c r="L14" s="469"/>
      <c r="M14" s="472"/>
      <c r="N14" s="469"/>
      <c r="P14" s="496"/>
    </row>
    <row r="15" spans="1:16" s="495" customFormat="1" ht="35" customHeight="1" x14ac:dyDescent="0.3">
      <c r="A15" s="469"/>
      <c r="B15" s="757"/>
      <c r="C15" s="754"/>
      <c r="D15" s="492" t="s">
        <v>10</v>
      </c>
      <c r="E15" s="750" t="str">
        <f>IF(VLOOKUP(CONCATENATE($C$2,"-",$D15),Languages!$A:$D,1,TRUE)=CONCATENATE($C$2,"-",$D15),VLOOKUP(CONCATENATE($C$2,"-",$D15),Languages!$A:$D,Kybermittari!$C$7,TRUE),NA())</f>
        <v>Palveluiden tuottamiseen tarvittavat prosessit on tunnistettu ja dokumentoitu.</v>
      </c>
      <c r="F15" s="750"/>
      <c r="G15" s="750"/>
      <c r="H15" s="493">
        <f>IFERROR(INT(LEFT($I15,1)),0)</f>
        <v>0</v>
      </c>
      <c r="I15" s="54"/>
      <c r="J15" s="526"/>
      <c r="K15" s="494"/>
      <c r="L15" s="469"/>
      <c r="M15" s="472"/>
      <c r="N15" s="469"/>
      <c r="P15" s="497"/>
    </row>
    <row r="16" spans="1:16" s="495" customFormat="1" ht="35" customHeight="1" x14ac:dyDescent="0.3">
      <c r="A16" s="469"/>
      <c r="B16" s="757"/>
      <c r="C16" s="752"/>
      <c r="D16" s="492" t="s">
        <v>11</v>
      </c>
      <c r="E16" s="756" t="str">
        <f>IF(VLOOKUP(CONCATENATE($C$2,"-",$D16),Languages!$A:$D,1,TRUE)=CONCATENATE($C$2,"-",$D16),VLOOKUP(CONCATENATE($C$2,"-",$D16),Languages!$A:$D,Kybermittari!$C$7,TRUE),NA())</f>
        <v>Palveluiden tuottamiseen tarvittavat järjestelmät (IT- ja OT-omaisuus) on tunnistettu ja dokumentoitu.</v>
      </c>
      <c r="F16" s="756"/>
      <c r="G16" s="756"/>
      <c r="H16" s="493">
        <f>IFERROR(INT(LEFT($I16,1)),0)</f>
        <v>0</v>
      </c>
      <c r="I16" s="54"/>
      <c r="J16" s="526"/>
      <c r="K16" s="494"/>
      <c r="L16" s="469"/>
      <c r="M16" s="472"/>
      <c r="N16" s="469"/>
      <c r="P16" s="497"/>
    </row>
    <row r="17" spans="1:16" s="495" customFormat="1" ht="10" customHeight="1" x14ac:dyDescent="0.3">
      <c r="A17" s="469"/>
      <c r="B17" s="757"/>
      <c r="C17" s="498"/>
      <c r="D17" s="499"/>
      <c r="E17" s="500"/>
      <c r="F17" s="501"/>
      <c r="G17" s="501"/>
      <c r="H17" s="499"/>
      <c r="I17" s="502"/>
      <c r="J17" s="502"/>
      <c r="K17" s="494"/>
      <c r="L17" s="469"/>
      <c r="M17" s="472"/>
      <c r="N17" s="469"/>
      <c r="P17" s="497"/>
    </row>
    <row r="18" spans="1:16" s="495" customFormat="1" ht="35" customHeight="1" x14ac:dyDescent="0.3">
      <c r="A18" s="469"/>
      <c r="B18" s="757"/>
      <c r="C18" s="751">
        <v>2</v>
      </c>
      <c r="D18" s="503" t="s">
        <v>12</v>
      </c>
      <c r="E18" s="756" t="str">
        <f>IF(VLOOKUP(CONCATENATE($C$2,"-",$D18),Languages!$A:$D,1,TRUE)=CONCATENATE($C$2,"-",$D18),VLOOKUP(CONCATENATE($C$2,"-",$D18),Languages!$A:$D,Kybermittari!$C$7,TRUE),NA())</f>
        <v>Palveluiden tuottamiseen tarvittavat tilat ja laitteet on tunnistettu ja dokumentoitu.</v>
      </c>
      <c r="F18" s="756"/>
      <c r="G18" s="756"/>
      <c r="H18" s="493">
        <f>IFERROR(INT(LEFT($I18,1)),0)</f>
        <v>0</v>
      </c>
      <c r="I18" s="54"/>
      <c r="J18" s="527"/>
      <c r="K18" s="504"/>
      <c r="L18" s="524"/>
      <c r="M18" s="472"/>
      <c r="N18" s="524"/>
      <c r="P18" s="497"/>
    </row>
    <row r="19" spans="1:16" s="495" customFormat="1" ht="35" customHeight="1" x14ac:dyDescent="0.3">
      <c r="A19" s="469"/>
      <c r="B19" s="757"/>
      <c r="C19" s="754"/>
      <c r="D19" s="503" t="s">
        <v>13</v>
      </c>
      <c r="E19" s="756" t="str">
        <f>IF(VLOOKUP(CONCATENATE($C$2,"-",$D19),Languages!$A:$D,1,TRUE)=CONCATENATE($C$2,"-",$D19),VLOOKUP(CONCATENATE($C$2,"-",$D19),Languages!$A:$D,Kybermittari!$C$7,TRUE),NA())</f>
        <v>Palveluiden tuottamiseen tarvittavat toimitusketjut on tunnistettu ja dokumentoitu.</v>
      </c>
      <c r="F19" s="756"/>
      <c r="G19" s="756"/>
      <c r="H19" s="493">
        <f>IFERROR(INT(LEFT($I19,1)),0)</f>
        <v>0</v>
      </c>
      <c r="I19" s="54"/>
      <c r="J19" s="527"/>
      <c r="K19" s="504"/>
      <c r="L19" s="524"/>
      <c r="M19" s="472"/>
      <c r="N19" s="524"/>
      <c r="P19" s="497"/>
    </row>
    <row r="20" spans="1:16" s="495" customFormat="1" ht="60" customHeight="1" x14ac:dyDescent="0.3">
      <c r="A20" s="469"/>
      <c r="B20" s="755"/>
      <c r="C20" s="752"/>
      <c r="D20" s="503" t="s">
        <v>14</v>
      </c>
      <c r="E20" s="756" t="str">
        <f>IF(VLOOKUP(CONCATENATE($C$2,"-",$D20),Languages!$A:$D,1,TRUE)=CONCATENATE($C$2,"-",$D20),VLOOKUP(CONCATENATE($C$2,"-",$D20),Languages!$A:$D,Kybermittari!$C$7,TRUE),NA())</f>
        <v>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v>
      </c>
      <c r="F20" s="756"/>
      <c r="G20" s="756"/>
      <c r="H20" s="493">
        <f>IFERROR(INT(LEFT($I20,1)),0)</f>
        <v>0</v>
      </c>
      <c r="I20" s="54"/>
      <c r="J20" s="527"/>
      <c r="K20" s="504"/>
      <c r="L20" s="524"/>
      <c r="M20" s="472"/>
      <c r="N20" s="524"/>
      <c r="P20" s="497"/>
    </row>
    <row r="21" spans="1:16" s="495" customFormat="1" ht="10" customHeight="1" x14ac:dyDescent="0.3">
      <c r="A21" s="469"/>
      <c r="B21" s="755"/>
      <c r="C21" s="498"/>
      <c r="D21" s="499"/>
      <c r="E21" s="500"/>
      <c r="F21" s="501"/>
      <c r="G21" s="501"/>
      <c r="H21" s="499"/>
      <c r="I21" s="502"/>
      <c r="J21" s="502"/>
      <c r="K21" s="504"/>
      <c r="L21" s="524"/>
      <c r="M21" s="472"/>
      <c r="N21" s="524"/>
      <c r="P21" s="497"/>
    </row>
    <row r="22" spans="1:16" s="495" customFormat="1" ht="35" customHeight="1" x14ac:dyDescent="0.3">
      <c r="A22" s="469"/>
      <c r="B22" s="755"/>
      <c r="C22" s="505">
        <v>3</v>
      </c>
      <c r="D22" s="503" t="s">
        <v>15</v>
      </c>
      <c r="E22" s="756" t="str">
        <f>IF(VLOOKUP(CONCATENATE($C$2,"-",$D22),Languages!$A:$D,1,TRUE)=CONCATENATE($C$2,"-",$D22),VLOOKUP(CONCATENATE($C$2,"-",$D22),Languages!$A:$D,Kybermittari!$C$7,TRUE),NA())</f>
        <v>Palvelujen heikentymisen tai keskeytymisen aiheuttamat seurannaisvaikutukset yhteiskunnalle on tunnistettu ja dokumentoitu.</v>
      </c>
      <c r="F22" s="756"/>
      <c r="G22" s="756"/>
      <c r="H22" s="493">
        <f>IFERROR(INT(LEFT($I22,1)),0)</f>
        <v>0</v>
      </c>
      <c r="I22" s="54"/>
      <c r="J22" s="527"/>
      <c r="K22" s="504"/>
      <c r="L22" s="524"/>
      <c r="M22" s="472"/>
      <c r="N22" s="524"/>
      <c r="P22" s="497"/>
    </row>
    <row r="23" spans="1:16" s="343" customFormat="1" ht="30" customHeight="1" x14ac:dyDescent="0.3">
      <c r="A23" s="332"/>
      <c r="B23" s="461"/>
      <c r="C23" s="462">
        <v>2</v>
      </c>
      <c r="D23" s="462" t="str">
        <f>IF(VLOOKUP(CONCATENATE($C$2,"-",C23),Languages!$A:$D,1,TRUE)=CONCATENATE($C$2,"-",C23),VLOOKUP(CONCATENATE($C$2,"-",C23),Languages!$A:$D,Kybermittari!$C$7,TRUE),NA())</f>
        <v>Kriittisten palveluiden hallinta</v>
      </c>
      <c r="E23" s="336"/>
      <c r="F23" s="506"/>
      <c r="G23" s="506"/>
      <c r="H23" s="506"/>
      <c r="I23" s="506"/>
      <c r="J23" s="507"/>
      <c r="K23" s="339"/>
      <c r="L23" s="340"/>
      <c r="M23" s="454"/>
      <c r="N23" s="340"/>
      <c r="O23" s="341"/>
      <c r="P23" s="468"/>
    </row>
    <row r="24" spans="1:16" s="475" customFormat="1" ht="47" customHeight="1" x14ac:dyDescent="0.3">
      <c r="A24" s="469"/>
      <c r="B24" s="470"/>
      <c r="C24" s="753" t="str">
        <f>IF(VLOOKUP(CONCATENATE($C$2,"-",$C23,"-0"),Languages!$A:$D,1,TRUE)=CONCATENATE($C$2,"-",$C23,"-0"),VLOOKUP(CONCATENATE($C$2,"-",$C23,"-0"),Languages!$A:$D,Kybermittari!$C$7,TRUE),NA())</f>
        <v>Organisaation ylimmällä johdolla on vastuu riittävien resurssien turvaamisesta kriittisten palveluiden tuottamiseen ja päätöksentekovaltuuksien delegoinnista organisaatiossa siten, että päätöksenteko on tehokasta ja se tehdään oikeassa paikkaa. Kriittisten palveluiden toimittamiseen liittyvien tietoverkkojen ja -järjestelmien riskit tulee arvioida osana koko organisaation riskejä.</v>
      </c>
      <c r="D24" s="753"/>
      <c r="E24" s="753"/>
      <c r="F24" s="753"/>
      <c r="G24" s="753"/>
      <c r="H24" s="753"/>
      <c r="I24" s="753"/>
      <c r="J24" s="753"/>
      <c r="K24" s="471"/>
      <c r="L24" s="524"/>
      <c r="M24" s="472"/>
      <c r="N24" s="524"/>
      <c r="O24" s="473"/>
      <c r="P24" s="474"/>
    </row>
    <row r="25" spans="1:16" s="486" customFormat="1" ht="20" customHeight="1" x14ac:dyDescent="0.3">
      <c r="A25" s="523"/>
      <c r="B25" s="476"/>
      <c r="C25" s="477" t="str">
        <f>IF(VLOOKUP("GEN-LEVEL",Languages!$A:$D,1,TRUE)="GEN-LEVEL",VLOOKUP("GEN-LEVEL",Languages!$A:$D,Kybermittari!$C$7,TRUE),NA())</f>
        <v>Taso</v>
      </c>
      <c r="D25" s="477"/>
      <c r="E25" s="478" t="str">
        <f>IF(VLOOKUP("GEN-PRACTICE",Languages!$A:$D,1,TRUE)="GEN-PRACTICE",VLOOKUP("GEN-PRACTICE",Languages!$A:$D,Kybermittari!$C$7,TRUE),NA())</f>
        <v>Käytäntö</v>
      </c>
      <c r="F25" s="479"/>
      <c r="G25" s="480"/>
      <c r="H25" s="481"/>
      <c r="I25" s="478" t="str">
        <f>IF(VLOOKUP("GEN-ANSWER",Languages!$A:$D,1,TRUE)="GEN-ANSWER",VLOOKUP("GEN-ANSWER",Languages!$A:$D,Kybermittari!$C$7,TRUE),NA())</f>
        <v>Vastaus</v>
      </c>
      <c r="J25" s="480" t="str">
        <f>IF(VLOOKUP("GEN-COMMENT",Languages!$A:$D,1,TRUE)="GEN-COMMENT",VLOOKUP("GEN-COMMENT",Languages!$A:$D,Kybermittari!$C$7,TRUE),NA())</f>
        <v>Kommentti ja viittaukset</v>
      </c>
      <c r="K25" s="482"/>
      <c r="L25" s="483"/>
      <c r="M25" s="472"/>
      <c r="N25" s="523"/>
      <c r="O25" s="484"/>
      <c r="P25" s="497"/>
    </row>
    <row r="26" spans="1:16" s="486" customFormat="1" ht="10" customHeight="1" x14ac:dyDescent="0.3">
      <c r="A26" s="523"/>
      <c r="B26" s="476"/>
      <c r="C26" s="487"/>
      <c r="D26" s="487"/>
      <c r="E26" s="488"/>
      <c r="F26" s="489"/>
      <c r="G26" s="490"/>
      <c r="H26" s="491"/>
      <c r="I26" s="488"/>
      <c r="J26" s="490"/>
      <c r="K26" s="482"/>
      <c r="L26" s="483"/>
      <c r="M26" s="472"/>
      <c r="N26" s="523"/>
      <c r="O26" s="484"/>
      <c r="P26" s="485"/>
    </row>
    <row r="27" spans="1:16" s="510" customFormat="1" ht="45" customHeight="1" x14ac:dyDescent="0.3">
      <c r="A27" s="524"/>
      <c r="B27" s="749"/>
      <c r="C27" s="751">
        <v>1</v>
      </c>
      <c r="D27" s="508" t="s">
        <v>20</v>
      </c>
      <c r="E27" s="750" t="str">
        <f>IF(VLOOKUP(CONCATENATE($C$2,"-",$D27),Languages!$A:$D,1,TRUE)=CONCATENATE($C$2,"-",$D27),VLOOKUP(CONCATENATE($C$2,"-",$D27),Languages!$A:$D,Kybermittari!$C$7,TRUE),NA())</f>
        <v>Kaikki resurssit (data, prosessit, järjestelmät, tilat ja toimitusketjut), joita tarvitaan (yhteiskunnalle kriittisten) palveluiden tuottamiseen, ovat organisaation turvallisuuden hallinnan politiikkojen ja prosessien piirissä.</v>
      </c>
      <c r="F27" s="750"/>
      <c r="G27" s="750"/>
      <c r="H27" s="493">
        <f>IFERROR(INT(LEFT($I27,1)),0)</f>
        <v>0</v>
      </c>
      <c r="I27" s="54"/>
      <c r="J27" s="526"/>
      <c r="K27" s="509"/>
      <c r="L27" s="524"/>
      <c r="M27" s="472"/>
      <c r="N27" s="524"/>
      <c r="O27" s="495"/>
      <c r="P27" s="497"/>
    </row>
    <row r="28" spans="1:16" s="510" customFormat="1" ht="45" customHeight="1" x14ac:dyDescent="0.3">
      <c r="A28" s="524"/>
      <c r="B28" s="749"/>
      <c r="C28" s="752"/>
      <c r="D28" s="508" t="s">
        <v>21</v>
      </c>
      <c r="E28" s="750" t="str">
        <f>IF(VLOOKUP(CONCATENATE($C$2,"-",$D28),Languages!$A:$D,1,TRUE)=CONCATENATE($C$2,"-",$D28),VLOOKUP(CONCATENATE($C$2,"-",$D28),Languages!$A:$D,Kybermittari!$C$7,TRUE),NA())</f>
        <v>Kaikki resurssit (data, prosessit, järjestelmät, tilat ja toimitusketjut), joita tarvitaan yhteiskunnallisesti kriittisten palvelujen tuottamiseen, ovat organisaation riskienhallinnan politiikkojen ja prosessien piirissä.</v>
      </c>
      <c r="F28" s="750"/>
      <c r="G28" s="750"/>
      <c r="H28" s="493">
        <f>IFERROR(INT(LEFT($I28,1)),0)</f>
        <v>0</v>
      </c>
      <c r="I28" s="54"/>
      <c r="J28" s="527"/>
      <c r="K28" s="509"/>
      <c r="L28" s="524"/>
      <c r="M28" s="472"/>
      <c r="N28" s="524"/>
      <c r="O28" s="495"/>
      <c r="P28" s="497"/>
    </row>
    <row r="29" spans="1:16" s="510" customFormat="1" ht="10" customHeight="1" x14ac:dyDescent="0.3">
      <c r="A29" s="524"/>
      <c r="B29" s="511"/>
      <c r="C29" s="512"/>
      <c r="D29" s="513"/>
      <c r="E29" s="501"/>
      <c r="F29" s="501"/>
      <c r="G29" s="501"/>
      <c r="H29" s="499"/>
      <c r="I29" s="502"/>
      <c r="J29" s="514"/>
      <c r="K29" s="509"/>
      <c r="L29" s="524"/>
      <c r="M29" s="472"/>
      <c r="N29" s="524"/>
      <c r="O29" s="495"/>
      <c r="P29" s="497"/>
    </row>
    <row r="30" spans="1:16" s="510" customFormat="1" ht="60" customHeight="1" x14ac:dyDescent="0.3">
      <c r="A30" s="524"/>
      <c r="B30" s="749"/>
      <c r="C30" s="751">
        <v>2</v>
      </c>
      <c r="D30" s="508" t="s">
        <v>22</v>
      </c>
      <c r="E30" s="750" t="str">
        <f>IF(VLOOKUP(CONCATENATE($C$2,"-",$D30),Languages!$A:$D,1,TRUE)=CONCATENATE($C$2,"-",$D30),VLOOKUP(CONCATENATE($C$2,"-",$D30),Languages!$A:$D,Kybermittari!$C$7,TRUE),NA())</f>
        <v>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v>
      </c>
      <c r="F30" s="750"/>
      <c r="G30" s="750"/>
      <c r="H30" s="493">
        <f t="shared" ref="H30:H36" si="0">IFERROR(INT(LEFT($I30,1)),0)</f>
        <v>0</v>
      </c>
      <c r="I30" s="54"/>
      <c r="J30" s="527"/>
      <c r="K30" s="509"/>
      <c r="L30" s="524"/>
      <c r="M30" s="472"/>
      <c r="N30" s="524"/>
      <c r="O30" s="495"/>
      <c r="P30" s="515"/>
    </row>
    <row r="31" spans="1:16" s="510" customFormat="1" ht="45" customHeight="1" x14ac:dyDescent="0.3">
      <c r="A31" s="524"/>
      <c r="B31" s="749"/>
      <c r="C31" s="754"/>
      <c r="D31" s="508" t="s">
        <v>23</v>
      </c>
      <c r="E31" s="750" t="str">
        <f>IF(VLOOKUP(CONCATENATE($C$2,"-",$D31),Languages!$A:$D,1,TRUE)=CONCATENATE($C$2,"-",$D31),VLOOKUP(CONCATENATE($C$2,"-",$D31),Languages!$A:$D,Kybermittari!$C$7,TRUE),NA())</f>
        <v>Johtoryhmä käsittelee palveluiden tuottamiseen tarvittavien tietoverkkojen ja -järjestelmien turvallisuuden tasoa säännöllisesti; käyttäen pohjana ajantasaista ja tarkkaa tietoa sekä organisaation ammattilaisten asiantuntemusta.</v>
      </c>
      <c r="F31" s="750"/>
      <c r="G31" s="750"/>
      <c r="H31" s="493">
        <f t="shared" si="0"/>
        <v>0</v>
      </c>
      <c r="I31" s="54"/>
      <c r="J31" s="527"/>
      <c r="K31" s="509"/>
      <c r="L31" s="524"/>
      <c r="M31" s="472"/>
      <c r="N31" s="524"/>
      <c r="O31" s="495"/>
      <c r="P31" s="497"/>
    </row>
    <row r="32" spans="1:16" s="510" customFormat="1" ht="45" customHeight="1" x14ac:dyDescent="0.3">
      <c r="A32" s="524"/>
      <c r="B32" s="749"/>
      <c r="C32" s="754"/>
      <c r="D32" s="508" t="s">
        <v>24</v>
      </c>
      <c r="E32" s="750" t="str">
        <f>IF(VLOOKUP(CONCATENATE($C$2,"-",$D32),Languages!$A:$D,1,TRUE)=CONCATENATE($C$2,"-",$D32),VLOOKUP(CONCATENATE($C$2,"-",$D32),Languages!$A:$D,Kybermittari!$C$7,TRUE),NA())</f>
        <v>Johtoryhmän nimetyllä jäsenellä on vastuu palveluiden tuottamiseen tarvittavien tietoverkkojen ja -järjestelmien turvallisuuden tasosta. Henkilö ohjaa johtoryhmän säännöllistä keskustelua aiheesta.</v>
      </c>
      <c r="F32" s="750"/>
      <c r="G32" s="750"/>
      <c r="H32" s="493">
        <f t="shared" si="0"/>
        <v>0</v>
      </c>
      <c r="I32" s="54"/>
      <c r="J32" s="527"/>
      <c r="K32" s="509"/>
      <c r="L32" s="524"/>
      <c r="M32" s="472"/>
      <c r="N32" s="524"/>
      <c r="O32" s="495"/>
      <c r="P32" s="497"/>
    </row>
    <row r="33" spans="1:16" s="510" customFormat="1" ht="45" customHeight="1" x14ac:dyDescent="0.3">
      <c r="A33" s="524"/>
      <c r="B33" s="749"/>
      <c r="C33" s="754"/>
      <c r="D33" s="508" t="s">
        <v>112</v>
      </c>
      <c r="E33" s="750" t="str">
        <f>IF(VLOOKUP(CONCATENATE($C$2,"-",$D33),Languages!$A:$D,1,TRUE)=CONCATENATE($C$2,"-",$D33),VLOOKUP(CONCATENATE($C$2,"-",$D33),Languages!$A:$D,Kybermittari!$C$7,TRUE),NA())</f>
        <v>Johtoryhmä asettaa suunnan ja tahtotilan, joista johdetaan tehokkaita toimintatapoja tietoverkkojen ja -järjestelmien turvallisuuden valvontaan ja ohjaukseen.</v>
      </c>
      <c r="F33" s="750"/>
      <c r="G33" s="750"/>
      <c r="H33" s="493">
        <f t="shared" si="0"/>
        <v>0</v>
      </c>
      <c r="I33" s="54"/>
      <c r="J33" s="527"/>
      <c r="K33" s="509"/>
      <c r="L33" s="524"/>
      <c r="M33" s="472"/>
      <c r="N33" s="524"/>
      <c r="O33" s="495"/>
      <c r="P33" s="497"/>
    </row>
    <row r="34" spans="1:16" s="510" customFormat="1" ht="35" customHeight="1" x14ac:dyDescent="0.3">
      <c r="A34" s="524"/>
      <c r="B34" s="749"/>
      <c r="C34" s="754"/>
      <c r="D34" s="508" t="s">
        <v>176</v>
      </c>
      <c r="E34" s="750" t="str">
        <f>IF(VLOOKUP(CONCATENATE($C$2,"-",$D34),Languages!$A:$D,1,TRUE)=CONCATENATE($C$2,"-",$D34),VLOOKUP(CONCATENATE($C$2,"-",$D34),Languages!$A:$D,Kybermittari!$C$7,TRUE),NA())</f>
        <v>Organisaation ylimmällä johdolla on näkyvyys tärkeimpiin riskipäätöksiin läpi koko organisaation.</v>
      </c>
      <c r="F34" s="750"/>
      <c r="G34" s="750"/>
      <c r="H34" s="493">
        <f t="shared" si="0"/>
        <v>0</v>
      </c>
      <c r="I34" s="54"/>
      <c r="J34" s="527"/>
      <c r="K34" s="509"/>
      <c r="L34" s="524"/>
      <c r="M34" s="472"/>
      <c r="N34" s="524"/>
      <c r="O34" s="495"/>
      <c r="P34" s="497"/>
    </row>
    <row r="35" spans="1:16" s="510" customFormat="1" ht="75" customHeight="1" x14ac:dyDescent="0.3">
      <c r="A35" s="524"/>
      <c r="B35" s="749"/>
      <c r="C35" s="754"/>
      <c r="D35" s="508" t="s">
        <v>178</v>
      </c>
      <c r="E35" s="750" t="str">
        <f>IF(VLOOKUP(CONCATENATE($C$2,"-",$D35),Languages!$A:$D,1,TRUE)=CONCATENATE($C$2,"-",$D35),VLOOKUP(CONCATENATE($C$2,"-",$D35),Languages!$A:$D,Kybermittari!$C$7,TRUE),NA())</f>
        <v>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v>
      </c>
      <c r="F35" s="750"/>
      <c r="G35" s="750"/>
      <c r="H35" s="493">
        <f t="shared" si="0"/>
        <v>0</v>
      </c>
      <c r="I35" s="54"/>
      <c r="J35" s="527"/>
      <c r="K35" s="509"/>
      <c r="L35" s="524"/>
      <c r="M35" s="472"/>
      <c r="N35" s="524"/>
      <c r="O35" s="495"/>
      <c r="P35" s="497"/>
    </row>
    <row r="36" spans="1:16" s="510" customFormat="1" ht="45" customHeight="1" x14ac:dyDescent="0.3">
      <c r="A36" s="524"/>
      <c r="B36" s="749"/>
      <c r="C36" s="752"/>
      <c r="D36" s="508" t="s">
        <v>209</v>
      </c>
      <c r="E36" s="750" t="str">
        <f>IF(VLOOKUP(CONCATENATE($C$2,"-",$D36),Languages!$A:$D,1,TRUE)=CONCATENATE($C$2,"-",$D36),VLOOKUP(CONCATENATE($C$2,"-",$D36),Languages!$A:$D,Kybermittari!$C$7,TRUE),NA())</f>
        <v>Riskienhallinnan päätöksentekoa voidaan tarvittaessa delegoida tai korottaa ("escalate") läpi koko organisaation sellaisille henkilöille, joilla on sopivat tiedot, taidot ja valtuudet päätösten tekemiseen.</v>
      </c>
      <c r="F36" s="750"/>
      <c r="G36" s="750"/>
      <c r="H36" s="493">
        <f t="shared" si="0"/>
        <v>0</v>
      </c>
      <c r="I36" s="54"/>
      <c r="J36" s="527"/>
      <c r="K36" s="509"/>
      <c r="L36" s="524"/>
      <c r="M36" s="472"/>
      <c r="N36" s="524"/>
      <c r="O36" s="495"/>
      <c r="P36" s="497"/>
    </row>
    <row r="37" spans="1:16" s="510" customFormat="1" ht="10" customHeight="1" x14ac:dyDescent="0.3">
      <c r="A37" s="524"/>
      <c r="B37" s="749"/>
      <c r="C37" s="512"/>
      <c r="D37" s="513"/>
      <c r="E37" s="501"/>
      <c r="F37" s="501"/>
      <c r="G37" s="501"/>
      <c r="H37" s="499"/>
      <c r="I37" s="502"/>
      <c r="J37" s="514"/>
      <c r="K37" s="509"/>
      <c r="L37" s="524"/>
      <c r="M37" s="472"/>
      <c r="N37" s="524"/>
      <c r="O37" s="495"/>
      <c r="P37" s="497"/>
    </row>
    <row r="38" spans="1:16" s="510" customFormat="1" ht="35" customHeight="1" x14ac:dyDescent="0.3">
      <c r="A38" s="524"/>
      <c r="B38" s="749"/>
      <c r="C38" s="751">
        <v>3</v>
      </c>
      <c r="D38" s="508" t="s">
        <v>211</v>
      </c>
      <c r="E38" s="750" t="str">
        <f>IF(VLOOKUP(CONCATENATE($C$2,"-",$D38),Languages!$A:$D,1,TRUE)=CONCATENATE($C$2,"-",$D38),VLOOKUP(CONCATENATE($C$2,"-",$D38),Languages!$A:$D,Kybermittari!$C$7,TRUE),NA())</f>
        <v>Tehdyt riskienhallintapäätökset käydään läpi aika ajoin, jotta varmistutaan siitä, että ne ovat pysyneet relevantteina ja pätevinä.</v>
      </c>
      <c r="F38" s="750"/>
      <c r="G38" s="750"/>
      <c r="H38" s="493">
        <f>IFERROR(INT(LEFT($I38,1)),0)</f>
        <v>0</v>
      </c>
      <c r="I38" s="54"/>
      <c r="J38" s="527"/>
      <c r="K38" s="509"/>
      <c r="L38" s="524"/>
      <c r="M38" s="472"/>
      <c r="N38" s="524"/>
      <c r="O38" s="495"/>
      <c r="P38" s="497"/>
    </row>
    <row r="39" spans="1:16" s="510" customFormat="1" ht="47" customHeight="1" x14ac:dyDescent="0.3">
      <c r="A39" s="524"/>
      <c r="B39" s="749"/>
      <c r="C39" s="752"/>
      <c r="D39" s="508" t="s">
        <v>213</v>
      </c>
      <c r="E39" s="750" t="str">
        <f>IF(VLOOKUP(CONCATENATE($C$2,"-",$D39),Languages!$A:$D,1,TRUE)=CONCATENATE($C$2,"-",$D39),VLOOKUP(CONCATENATE($C$2,"-",$D39),Languages!$A:$D,Kybermittari!$C$7,TRUE),NA())</f>
        <v>Riskienhallintaprosessissa ja -päätöksenteossa otetaan huomioon resurssit (data, prosessit, järjestelmät, laitteet ja toimitusketju), kriittinen ajanjakso ja seurannaisvaikutukset [kts. CRITICAL-1b-h].</v>
      </c>
      <c r="F39" s="750"/>
      <c r="G39" s="750"/>
      <c r="H39" s="493">
        <f>IFERROR(INT(LEFT($I39,1)),0)</f>
        <v>0</v>
      </c>
      <c r="I39" s="54"/>
      <c r="J39" s="527"/>
      <c r="K39" s="509"/>
      <c r="L39" s="524"/>
      <c r="M39" s="472"/>
      <c r="N39" s="524"/>
      <c r="O39" s="495"/>
      <c r="P39" s="497"/>
    </row>
    <row r="40" spans="1:16" s="343" customFormat="1" ht="30" customHeight="1" x14ac:dyDescent="0.3">
      <c r="A40" s="332"/>
      <c r="B40" s="461"/>
      <c r="C40" s="462">
        <v>3</v>
      </c>
      <c r="D40" s="462" t="str">
        <f>IF(VLOOKUP(CONCATENATE($C$2,"-",C40),Languages!$A:$D,1,TRUE)=CONCATENATE($C$2,"-",C40),VLOOKUP(CONCATENATE($C$2,"-",C40),Languages!$A:$D,Kybermittari!$C$7,TRUE),NA())</f>
        <v>Kriittisten palveluiden kyberhäiriöiden vaikutusten minimointi</v>
      </c>
      <c r="E40" s="336"/>
      <c r="F40" s="506"/>
      <c r="G40" s="506"/>
      <c r="H40" s="506"/>
      <c r="I40" s="506"/>
      <c r="J40" s="507"/>
      <c r="K40" s="339"/>
      <c r="L40" s="340"/>
      <c r="M40" s="454"/>
      <c r="N40" s="340"/>
      <c r="O40" s="341"/>
      <c r="P40" s="468"/>
    </row>
    <row r="41" spans="1:16" s="475" customFormat="1" ht="47" customHeight="1" x14ac:dyDescent="0.3">
      <c r="A41" s="524"/>
      <c r="B41" s="525"/>
      <c r="C41" s="753" t="str">
        <f>IF(VLOOKUP(CONCATENATE($C$2,"-",$C40,"-0"),Languages!$A:$D,1,TRUE)=CONCATENATE($C$2,"-",$C40,"-0"),VLOOKUP(CONCATENATE($C$2,"-",$C40,"-0"),Languages!$A:$D,Kybermittari!$C$7,TRUE),NA())</f>
        <v>Organisaatiolla tulee olla määritelty ja hyvin testattu kybertapahtumien ja -häiriöiden hallintaprosessi. Prosessin tarkoituksena on varmistaa kriittisten palveluiden toimintavarmuus järjestelmien tai palveluiden vikatilanteissa. Organisaation tulee myös huolehtia, että sillä on riittävät varautumistoimet vikatilanteiden vaikutusten rajaamiseksi tai pienentämiseksi ja että nämä toimet on mitoitettu suhteessa riskin ja mahdollisten vaikutusten suuruuteen.</v>
      </c>
      <c r="D41" s="753"/>
      <c r="E41" s="753"/>
      <c r="F41" s="753"/>
      <c r="G41" s="753"/>
      <c r="H41" s="753"/>
      <c r="I41" s="753"/>
      <c r="J41" s="753"/>
      <c r="K41" s="471"/>
      <c r="L41" s="524"/>
      <c r="M41" s="472"/>
      <c r="N41" s="524"/>
      <c r="O41" s="473"/>
      <c r="P41" s="474"/>
    </row>
    <row r="42" spans="1:16" s="486" customFormat="1" ht="20" customHeight="1" x14ac:dyDescent="0.3">
      <c r="A42" s="523"/>
      <c r="B42" s="476"/>
      <c r="C42" s="477" t="str">
        <f>IF(VLOOKUP("GEN-LEVEL",Languages!$A:$D,1,TRUE)="GEN-LEVEL",VLOOKUP("GEN-LEVEL",Languages!$A:$D,Kybermittari!$C$7,TRUE),NA())</f>
        <v>Taso</v>
      </c>
      <c r="D42" s="477"/>
      <c r="E42" s="478" t="str">
        <f>IF(VLOOKUP("GEN-PRACTICE",Languages!$A:$D,1,TRUE)="GEN-PRACTICE",VLOOKUP("GEN-PRACTICE",Languages!$A:$D,Kybermittari!$C$7,TRUE),NA())</f>
        <v>Käytäntö</v>
      </c>
      <c r="F42" s="479"/>
      <c r="G42" s="480"/>
      <c r="H42" s="481"/>
      <c r="I42" s="478" t="str">
        <f>IF(VLOOKUP("GEN-ANSWER",Languages!$A:$D,1,TRUE)="GEN-ANSWER",VLOOKUP("GEN-ANSWER",Languages!$A:$D,Kybermittari!$C$7,TRUE),NA())</f>
        <v>Vastaus</v>
      </c>
      <c r="J42" s="480" t="str">
        <f>IF(VLOOKUP("GEN-COMMENT",Languages!$A:$D,1,TRUE)="GEN-COMMENT",VLOOKUP("GEN-COMMENT",Languages!$A:$D,Kybermittari!$C$7,TRUE),NA())</f>
        <v>Kommentti ja viittaukset</v>
      </c>
      <c r="K42" s="482"/>
      <c r="L42" s="483"/>
      <c r="M42" s="472"/>
      <c r="N42" s="523"/>
      <c r="O42" s="484"/>
      <c r="P42" s="485"/>
    </row>
    <row r="43" spans="1:16" s="486" customFormat="1" ht="10" customHeight="1" x14ac:dyDescent="0.3">
      <c r="A43" s="523"/>
      <c r="B43" s="476"/>
      <c r="C43" s="487"/>
      <c r="D43" s="487"/>
      <c r="E43" s="488"/>
      <c r="F43" s="489"/>
      <c r="G43" s="490"/>
      <c r="H43" s="491"/>
      <c r="I43" s="488"/>
      <c r="J43" s="490"/>
      <c r="K43" s="482"/>
      <c r="L43" s="483"/>
      <c r="M43" s="472"/>
      <c r="N43" s="523"/>
      <c r="O43" s="484"/>
      <c r="P43" s="485"/>
    </row>
    <row r="44" spans="1:16" s="510" customFormat="1" ht="35" customHeight="1" x14ac:dyDescent="0.3">
      <c r="A44" s="524"/>
      <c r="B44" s="749"/>
      <c r="C44" s="751">
        <v>1</v>
      </c>
      <c r="D44" s="508" t="s">
        <v>25</v>
      </c>
      <c r="E44" s="750" t="str">
        <f>IF(VLOOKUP(CONCATENATE($C$2,"-",$D44),Languages!$A:$D,1,TRUE)=CONCATENATE($C$2,"-",$D44),VLOOKUP(CONCATENATE($C$2,"-",$D44),Languages!$A:$D,Kybermittari!$C$7,TRUE),NA())</f>
        <v>Organisaatiolla on kybertapahtumien ja -häiriöiden hallintasuunnitelma, joka kattaa kaikki (organisaation tuottamat yhteiskunnalle kriittiset) palvelut.</v>
      </c>
      <c r="F44" s="750"/>
      <c r="G44" s="750"/>
      <c r="H44" s="493">
        <f>IFERROR(INT(LEFT($I44,1)),0)</f>
        <v>0</v>
      </c>
      <c r="I44" s="54"/>
      <c r="J44" s="527"/>
      <c r="K44" s="509"/>
      <c r="L44" s="524"/>
      <c r="M44" s="472"/>
      <c r="N44" s="524"/>
      <c r="O44" s="495"/>
      <c r="P44" s="497"/>
    </row>
    <row r="45" spans="1:16" s="510" customFormat="1" ht="35" customHeight="1" x14ac:dyDescent="0.3">
      <c r="A45" s="524"/>
      <c r="B45" s="749"/>
      <c r="C45" s="754"/>
      <c r="D45" s="508" t="s">
        <v>26</v>
      </c>
      <c r="E45" s="750" t="str">
        <f>IF(VLOOKUP(CONCATENATE($C$2,"-",$D45),Languages!$A:$D,1,TRUE)=CONCATENATE($C$2,"-",$D45),VLOOKUP(CONCATENATE($C$2,"-",$D45),Languages!$A:$D,Kybermittari!$C$7,TRUE),NA())</f>
        <v>Hallintasuunnitelma rajoittuu tunnettuihin hyökkäyksiin, mutta kattaa perusteellisesti näiden hyökkäysten todennäköiset vaikutukset.</v>
      </c>
      <c r="F45" s="750"/>
      <c r="G45" s="750"/>
      <c r="H45" s="493">
        <f>IFERROR(INT(LEFT($I45,1)),0)</f>
        <v>0</v>
      </c>
      <c r="I45" s="54"/>
      <c r="J45" s="527"/>
      <c r="K45" s="509"/>
      <c r="L45" s="524"/>
      <c r="M45" s="472"/>
      <c r="N45" s="524"/>
      <c r="O45" s="495"/>
      <c r="P45" s="497"/>
    </row>
    <row r="46" spans="1:16" s="510" customFormat="1" ht="35" customHeight="1" x14ac:dyDescent="0.3">
      <c r="A46" s="524"/>
      <c r="B46" s="749"/>
      <c r="C46" s="754"/>
      <c r="D46" s="508" t="s">
        <v>27</v>
      </c>
      <c r="E46" s="750" t="str">
        <f>IF(VLOOKUP(CONCATENATE($C$2,"-",$D46),Languages!$A:$D,1,TRUE)=CONCATENATE($C$2,"-",$D46),VLOOKUP(CONCATENATE($C$2,"-",$D46),Languages!$A:$D,Kybermittari!$C$7,TRUE),NA())</f>
        <v>Kybertapahtumien ja -häiriöiden hallintaan osallistuva henkilöstö on sisäistänyt ja ymmärtää hallintasuunnitelman hyvin.</v>
      </c>
      <c r="F46" s="750"/>
      <c r="G46" s="750"/>
      <c r="H46" s="493">
        <f>IFERROR(INT(LEFT($I46,1)),0)</f>
        <v>0</v>
      </c>
      <c r="I46" s="54"/>
      <c r="J46" s="527"/>
      <c r="K46" s="509"/>
      <c r="L46" s="524"/>
      <c r="M46" s="472"/>
      <c r="N46" s="524"/>
      <c r="O46" s="495"/>
      <c r="P46" s="497"/>
    </row>
    <row r="47" spans="1:16" s="510" customFormat="1" ht="35" customHeight="1" x14ac:dyDescent="0.3">
      <c r="A47" s="524"/>
      <c r="B47" s="749"/>
      <c r="C47" s="752"/>
      <c r="D47" s="508" t="s">
        <v>28</v>
      </c>
      <c r="E47" s="750" t="str">
        <f>IF(VLOOKUP(CONCATENATE($C$2,"-",$D47),Languages!$A:$D,1,TRUE)=CONCATENATE($C$2,"-",$D47),VLOOKUP(CONCATENATE($C$2,"-",$D47),Languages!$A:$D,Kybermittari!$C$7,TRUE),NA())</f>
        <v>Hallintasuunnitelma on dokumentoitu ja se jaetaan kaikille relevanteille sidosryhmille.</v>
      </c>
      <c r="F47" s="750"/>
      <c r="G47" s="750"/>
      <c r="H47" s="493">
        <f>IFERROR(INT(LEFT($I47,1)),0)</f>
        <v>0</v>
      </c>
      <c r="I47" s="54"/>
      <c r="J47" s="527"/>
      <c r="K47" s="509"/>
      <c r="L47" s="524"/>
      <c r="M47" s="472"/>
      <c r="N47" s="524"/>
      <c r="O47" s="495"/>
      <c r="P47" s="497"/>
    </row>
    <row r="48" spans="1:16" s="510" customFormat="1" ht="10" customHeight="1" x14ac:dyDescent="0.3">
      <c r="A48" s="524"/>
      <c r="B48" s="511"/>
      <c r="C48" s="512"/>
      <c r="D48" s="513"/>
      <c r="E48" s="501"/>
      <c r="F48" s="501"/>
      <c r="G48" s="501"/>
      <c r="H48" s="499"/>
      <c r="I48" s="502"/>
      <c r="J48" s="514"/>
      <c r="K48" s="509"/>
      <c r="L48" s="524"/>
      <c r="M48" s="472"/>
      <c r="N48" s="524"/>
      <c r="O48" s="495"/>
      <c r="P48" s="497"/>
    </row>
    <row r="49" spans="1:16" s="510" customFormat="1" ht="47" customHeight="1" x14ac:dyDescent="0.3">
      <c r="A49" s="524"/>
      <c r="B49" s="749"/>
      <c r="C49" s="751">
        <v>2</v>
      </c>
      <c r="D49" s="508" t="s">
        <v>29</v>
      </c>
      <c r="E49" s="750" t="str">
        <f>IF(VLOOKUP(CONCATENATE($C$2,"-",$D49),Languages!$A:$D,1,TRUE)=CONCATENATE($C$2,"-",$D49),VLOOKUP(CONCATENATE($C$2,"-",$D49),Languages!$A:$D,Kybermittari!$C$7,TRUE),NA())</f>
        <v>Hallintasuunnitelma perustuu (yhteiskunnalle kriittisten palveluiden tuottamiseen tarvittavien) tietoverkkojen ja -järjestelmien riskien perusteelliseen tunnistamiseen ja ymmärtämiseen.</v>
      </c>
      <c r="F49" s="750"/>
      <c r="G49" s="750"/>
      <c r="H49" s="493">
        <f>IFERROR(INT(LEFT($I49,1)),0)</f>
        <v>0</v>
      </c>
      <c r="I49" s="54"/>
      <c r="J49" s="527"/>
      <c r="K49" s="509"/>
      <c r="L49" s="524"/>
      <c r="M49" s="472"/>
      <c r="N49" s="524"/>
      <c r="O49" s="495"/>
      <c r="P49" s="497"/>
    </row>
    <row r="50" spans="1:16" s="510" customFormat="1" ht="60" customHeight="1" x14ac:dyDescent="0.3">
      <c r="A50" s="524"/>
      <c r="B50" s="749"/>
      <c r="C50" s="752"/>
      <c r="D50" s="508" t="s">
        <v>30</v>
      </c>
      <c r="E50" s="750" t="str">
        <f>IF(VLOOKUP(CONCATENATE($C$2,"-",$D50),Languages!$A:$D,1,TRUE)=CONCATENATE($C$2,"-",$D50),VLOOKUP(CONCATENATE($C$2,"-",$D50),Languages!$A:$D,Kybermittari!$C$7,TRUE),NA())</f>
        <v>Hallintasuunnitelma kattaa perusteellisesti sekä tunnettujen hyökkäysten, että toistaiseksi tuntemattomien hyökkäysten todennäköiset vaikutukset. Suunnitelma kattaa perusteellisesti häiriön koko elinkaaren, roolit ja vastuut sekä raportointivelvoitteet.</v>
      </c>
      <c r="F50" s="750"/>
      <c r="G50" s="750"/>
      <c r="H50" s="493">
        <f>IFERROR(INT(LEFT($I50,1)),0)</f>
        <v>0</v>
      </c>
      <c r="I50" s="54"/>
      <c r="J50" s="527"/>
      <c r="K50" s="509"/>
      <c r="L50" s="524"/>
      <c r="M50" s="472"/>
      <c r="N50" s="524"/>
      <c r="O50" s="495"/>
      <c r="P50" s="497"/>
    </row>
    <row r="51" spans="1:16" s="510" customFormat="1" ht="10" customHeight="1" x14ac:dyDescent="0.3">
      <c r="A51" s="524"/>
      <c r="B51" s="749"/>
      <c r="C51" s="512"/>
      <c r="D51" s="513"/>
      <c r="E51" s="501"/>
      <c r="F51" s="501"/>
      <c r="G51" s="501"/>
      <c r="H51" s="499"/>
      <c r="I51" s="502"/>
      <c r="J51" s="514"/>
      <c r="K51" s="509"/>
      <c r="L51" s="524"/>
      <c r="M51" s="472"/>
      <c r="N51" s="524"/>
      <c r="O51" s="495"/>
      <c r="P51" s="497"/>
    </row>
    <row r="52" spans="1:16" s="510" customFormat="1" ht="35" customHeight="1" x14ac:dyDescent="0.3">
      <c r="A52" s="524"/>
      <c r="B52" s="749"/>
      <c r="C52" s="751">
        <v>3</v>
      </c>
      <c r="D52" s="508" t="s">
        <v>31</v>
      </c>
      <c r="E52" s="750" t="str">
        <f>IF(VLOOKUP(CONCATENATE($C$2,"-",$D52),Languages!$A:$D,1,TRUE)=CONCATENATE($C$2,"-",$D52),VLOOKUP(CONCATENATE($C$2,"-",$D52),Languages!$A:$D,Kybermittari!$C$7,TRUE),NA())</f>
        <v>Hallintasuunnitelma on dokumentoitu ja integroitu osaksi organisaation laajempaa liiketoiminnan ja toimitusketjujen jatkuvuudenhallintaa.</v>
      </c>
      <c r="F52" s="750"/>
      <c r="G52" s="750"/>
      <c r="H52" s="493">
        <f>IFERROR(INT(LEFT($I52,1)),0)</f>
        <v>0</v>
      </c>
      <c r="I52" s="54"/>
      <c r="J52" s="527"/>
      <c r="K52" s="509"/>
      <c r="L52" s="524"/>
      <c r="M52" s="472"/>
      <c r="N52" s="524"/>
      <c r="O52" s="495"/>
      <c r="P52" s="497"/>
    </row>
    <row r="53" spans="1:16" s="510" customFormat="1" ht="47" customHeight="1" x14ac:dyDescent="0.3">
      <c r="A53" s="524"/>
      <c r="B53" s="749"/>
      <c r="C53" s="752"/>
      <c r="D53" s="508" t="s">
        <v>247</v>
      </c>
      <c r="E53" s="750" t="str">
        <f>IF(VLOOKUP(CONCATENATE($C$2,"-",$D53),Languages!$A:$D,1,TRUE)=CONCATENATE($C$2,"-",$D53),VLOOKUP(CONCATENATE($C$2,"-",$D53),Languages!$A:$D,Kybermittari!$C$7,TRUE),NA())</f>
        <v>Kaikki yhteiskunnalle kriittisten palveluiden tuottamiseen osallistuvat organisaation liiketoimintayksiköt ovat saaneet ja sisäistäneet hallintasuunnitelman.</v>
      </c>
      <c r="F53" s="750"/>
      <c r="G53" s="750"/>
      <c r="H53" s="493">
        <f>IFERROR(INT(LEFT($I53,1)),0)</f>
        <v>0</v>
      </c>
      <c r="I53" s="54"/>
      <c r="J53" s="527"/>
      <c r="K53" s="509"/>
      <c r="L53" s="524"/>
      <c r="M53" s="472"/>
      <c r="N53" s="524"/>
      <c r="O53" s="495"/>
      <c r="P53" s="497"/>
    </row>
    <row r="54" spans="1:16" x14ac:dyDescent="0.25">
      <c r="A54" s="422"/>
      <c r="B54" s="423"/>
      <c r="C54" s="516"/>
      <c r="D54" s="424"/>
      <c r="E54" s="425"/>
      <c r="F54" s="425"/>
      <c r="G54" s="425"/>
      <c r="H54" s="427"/>
      <c r="I54" s="428"/>
      <c r="J54" s="517"/>
      <c r="K54" s="429"/>
      <c r="L54" s="422"/>
      <c r="M54" s="454"/>
      <c r="N54" s="422"/>
    </row>
    <row r="55" spans="1:16" x14ac:dyDescent="0.25">
      <c r="A55" s="422"/>
      <c r="B55" s="422"/>
      <c r="C55" s="422"/>
      <c r="D55" s="422"/>
      <c r="E55" s="422"/>
      <c r="F55" s="422"/>
      <c r="G55" s="422"/>
      <c r="H55" s="431"/>
      <c r="I55" s="422"/>
      <c r="J55" s="422"/>
      <c r="K55" s="422"/>
      <c r="L55" s="422"/>
      <c r="M55" s="432"/>
      <c r="N55" s="422"/>
    </row>
  </sheetData>
  <sheetProtection sheet="1" objects="1" scenarios="1"/>
  <mergeCells count="46">
    <mergeCell ref="C5:J5"/>
    <mergeCell ref="C10:J10"/>
    <mergeCell ref="B13:B14"/>
    <mergeCell ref="E13:G13"/>
    <mergeCell ref="E14:G14"/>
    <mergeCell ref="B20:B22"/>
    <mergeCell ref="E20:G20"/>
    <mergeCell ref="E22:G22"/>
    <mergeCell ref="C18:C20"/>
    <mergeCell ref="B15:B19"/>
    <mergeCell ref="E15:G15"/>
    <mergeCell ref="E16:G16"/>
    <mergeCell ref="E18:G18"/>
    <mergeCell ref="E19:G19"/>
    <mergeCell ref="C13:C16"/>
    <mergeCell ref="B30:B39"/>
    <mergeCell ref="E30:G30"/>
    <mergeCell ref="E38:G38"/>
    <mergeCell ref="E39:G39"/>
    <mergeCell ref="E31:G31"/>
    <mergeCell ref="E32:G32"/>
    <mergeCell ref="E33:G33"/>
    <mergeCell ref="E34:G34"/>
    <mergeCell ref="E35:G35"/>
    <mergeCell ref="E36:G36"/>
    <mergeCell ref="C30:C36"/>
    <mergeCell ref="C38:C39"/>
    <mergeCell ref="C24:J24"/>
    <mergeCell ref="B27:B28"/>
    <mergeCell ref="C27:C28"/>
    <mergeCell ref="E27:G27"/>
    <mergeCell ref="E28:G28"/>
    <mergeCell ref="C41:J41"/>
    <mergeCell ref="B44:B47"/>
    <mergeCell ref="C44:C47"/>
    <mergeCell ref="E44:G44"/>
    <mergeCell ref="E45:G45"/>
    <mergeCell ref="E46:G46"/>
    <mergeCell ref="E47:G47"/>
    <mergeCell ref="B49:B53"/>
    <mergeCell ref="E49:G49"/>
    <mergeCell ref="E50:G50"/>
    <mergeCell ref="E53:G53"/>
    <mergeCell ref="C49:C50"/>
    <mergeCell ref="C52:C53"/>
    <mergeCell ref="E52:G52"/>
  </mergeCells>
  <conditionalFormatting sqref="H1:H16 H18:H20 H22:H1048576">
    <cfRule type="containsText" dxfId="68" priority="5" operator="containsText" text="0">
      <formula>NOT(ISERROR(SEARCH("0",H1)))</formula>
    </cfRule>
  </conditionalFormatting>
  <conditionalFormatting sqref="H17">
    <cfRule type="containsText" dxfId="67" priority="3" operator="containsText" text="0">
      <formula>NOT(ISERROR(SEARCH("0",H17)))</formula>
    </cfRule>
  </conditionalFormatting>
  <conditionalFormatting sqref="H21">
    <cfRule type="containsText" dxfId="66" priority="1" operator="containsText" text="0">
      <formula>NOT(ISERROR(SEARCH("0",H21)))</formula>
    </cfRule>
  </conditionalFormatting>
  <pageMargins left="0.7" right="0.7" top="0.75" bottom="0.75" header="0.3" footer="0.3"/>
  <pageSetup paperSize="9" scale="53" orientation="portrait" r:id="rId1"/>
  <colBreaks count="1" manualBreakCount="1">
    <brk id="12" max="51" man="1"/>
  </colBreaks>
  <drawing r:id="rId2"/>
  <extLst>
    <ext xmlns:x14="http://schemas.microsoft.com/office/spreadsheetml/2009/9/main" uri="{78C0D931-6437-407d-A8EE-F0AAD7539E65}">
      <x14:conditionalFormattings>
        <x14:conditionalFormatting xmlns:xm="http://schemas.microsoft.com/office/excel/2006/main">
          <x14:cfRule type="iconSet" priority="6" id="{13C2B1B1-E218-409A-B450-6991325688F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H1:H16 H18:H20 H22:H1048576</xm:sqref>
        </x14:conditionalFormatting>
        <x14:conditionalFormatting xmlns:xm="http://schemas.microsoft.com/office/excel/2006/main">
          <x14:cfRule type="iconSet" priority="4" id="{FB3A09BB-5F40-45A2-94AF-98AE5642514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H17</xm:sqref>
        </x14:conditionalFormatting>
        <x14:conditionalFormatting xmlns:xm="http://schemas.microsoft.com/office/excel/2006/main">
          <x14:cfRule type="iconSet" priority="2" id="{ED6D7B59-BC8B-4632-9643-ED2CCDCB0E4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I13:I16 I18:I20 I22 I27:I28 I30:I36 I38:I39 I44:I47 I49:I50 I52:I53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3"/>
  <sheetViews>
    <sheetView zoomScale="85" zoomScaleNormal="85" workbookViewId="0">
      <selection activeCell="C9" sqref="C9"/>
    </sheetView>
  </sheetViews>
  <sheetFormatPr defaultRowHeight="13.5" x14ac:dyDescent="0.25"/>
  <cols>
    <col min="1" max="1" width="5.78515625" style="2" bestFit="1" customWidth="1"/>
    <col min="2" max="3" width="8.640625" style="2" customWidth="1"/>
    <col min="4" max="4" width="16.640625" style="246" customWidth="1"/>
    <col min="5" max="5" width="3.640625" style="2" customWidth="1"/>
    <col min="6" max="6" width="5.640625" style="50" customWidth="1"/>
    <col min="8" max="8" width="7.92578125" customWidth="1"/>
    <col min="9" max="9" width="12.640625" style="247" customWidth="1"/>
    <col min="11" max="11" width="9.2109375" style="245"/>
    <col min="12" max="13" width="9.2109375" style="52"/>
    <col min="14" max="15" width="3.640625" style="52" customWidth="1"/>
    <col min="16" max="16" width="9.2109375" style="52"/>
    <col min="17" max="18" width="3.640625" style="52" customWidth="1"/>
    <col min="19" max="19" width="9.2109375" style="52"/>
    <col min="20" max="21" width="3.640625" style="52" customWidth="1"/>
    <col min="22" max="22" width="9.2109375" style="52"/>
    <col min="23" max="24" width="3.640625" style="52" customWidth="1"/>
    <col min="25" max="25" width="12.640625" customWidth="1"/>
  </cols>
  <sheetData>
    <row r="1" spans="1:33" ht="14" thickBot="1" x14ac:dyDescent="0.3">
      <c r="A1" s="292" t="s">
        <v>452</v>
      </c>
      <c r="B1" s="292" t="s">
        <v>979</v>
      </c>
      <c r="C1" s="292" t="s">
        <v>980</v>
      </c>
      <c r="D1" s="292" t="s">
        <v>41</v>
      </c>
      <c r="E1" s="292" t="s">
        <v>2501</v>
      </c>
      <c r="F1" s="38" t="s">
        <v>982</v>
      </c>
      <c r="G1" s="251" t="s">
        <v>2502</v>
      </c>
      <c r="H1" s="251" t="s">
        <v>2503</v>
      </c>
      <c r="K1" s="223" t="s">
        <v>1291</v>
      </c>
      <c r="L1" s="248" t="s">
        <v>595</v>
      </c>
      <c r="M1" s="248" t="s">
        <v>1294</v>
      </c>
      <c r="N1" s="248" t="s">
        <v>2633</v>
      </c>
      <c r="O1" s="248" t="s">
        <v>2632</v>
      </c>
      <c r="P1" s="146">
        <v>1</v>
      </c>
      <c r="Q1" s="248" t="s">
        <v>2633</v>
      </c>
      <c r="R1" s="248" t="s">
        <v>2632</v>
      </c>
      <c r="S1" s="146">
        <v>2</v>
      </c>
      <c r="T1" s="248" t="s">
        <v>2633</v>
      </c>
      <c r="U1" s="248" t="s">
        <v>2632</v>
      </c>
      <c r="V1" s="146">
        <v>3</v>
      </c>
      <c r="W1" s="248" t="s">
        <v>2633</v>
      </c>
      <c r="X1" s="248" t="s">
        <v>2632</v>
      </c>
      <c r="Z1" s="51" t="s">
        <v>32</v>
      </c>
      <c r="AA1" s="51"/>
      <c r="AB1" s="51" t="s">
        <v>2452</v>
      </c>
      <c r="AC1" s="34" t="s">
        <v>2453</v>
      </c>
      <c r="AD1" s="34" t="s">
        <v>2454</v>
      </c>
      <c r="AE1" s="34" t="s">
        <v>2455</v>
      </c>
      <c r="AF1" s="127"/>
      <c r="AG1" s="127"/>
    </row>
    <row r="2" spans="1:33" ht="14" x14ac:dyDescent="0.3">
      <c r="A2" s="293">
        <v>1</v>
      </c>
      <c r="B2" s="293" t="s">
        <v>1005</v>
      </c>
      <c r="C2" s="294" t="s">
        <v>1006</v>
      </c>
      <c r="D2" s="294" t="s">
        <v>92</v>
      </c>
      <c r="E2" s="294">
        <v>1</v>
      </c>
      <c r="F2" s="250">
        <f ca="1">VLOOKUP($D2,Data!$C:$I,7,FALSE)</f>
        <v>0</v>
      </c>
      <c r="G2" s="296" t="str">
        <f t="shared" ref="G2:G65" si="0">CONCATENATE($B2,$E2)</f>
        <v>ID.AM-11</v>
      </c>
      <c r="H2" s="296" t="str">
        <f t="shared" ref="H2:H65" ca="1" si="1">_xlfn.IFNA(CONCATENATE($B2,$E2,$F2),CONCATENATE($B2,$E2,0))</f>
        <v>ID.AM-110</v>
      </c>
      <c r="J2" s="263" t="s">
        <v>595</v>
      </c>
      <c r="K2" s="267" t="s">
        <v>1251</v>
      </c>
      <c r="L2" s="268" t="s">
        <v>1005</v>
      </c>
      <c r="M2" s="269">
        <f t="shared" ref="M2:M29" ca="1" si="2">IF(O2=0,0,N2/O2)</f>
        <v>0</v>
      </c>
      <c r="N2" s="270">
        <f t="shared" ref="N2:N29" ca="1" si="3">SUM(Q2+T2+W2)</f>
        <v>0</v>
      </c>
      <c r="O2" s="270">
        <f t="shared" ref="O2:O29" si="4">SUM(R2+U2+X2)</f>
        <v>4</v>
      </c>
      <c r="P2" s="269">
        <f t="shared" ref="P2:P29" ca="1" si="5">IF(R2=0,0,Q2/R2)</f>
        <v>0</v>
      </c>
      <c r="Q2" s="270">
        <f t="shared" ref="Q2:Q33" ca="1" si="6">COUNTIF($H:$H,CONCATENATE($L2,P$1,1))</f>
        <v>0</v>
      </c>
      <c r="R2" s="270">
        <f t="shared" ref="R2:R33" si="7">COUNTIF($G:$G,CONCATENATE($L2,P$1))</f>
        <v>1</v>
      </c>
      <c r="S2" s="269">
        <f t="shared" ref="S2:S29" ca="1" si="8">IF(U2=0,0,T2/U2)</f>
        <v>0</v>
      </c>
      <c r="T2" s="270">
        <f t="shared" ref="T2:T33" ca="1" si="9">COUNTIF($H:$H,CONCATENATE($L2,S$1,1))</f>
        <v>0</v>
      </c>
      <c r="U2" s="270">
        <f t="shared" ref="U2:U33" si="10">COUNTIF($G:$G,CONCATENATE($L2,S$1))</f>
        <v>1</v>
      </c>
      <c r="V2" s="269">
        <f t="shared" ref="V2:V29" ca="1" si="11">IF(X2=0,0,W2/X2)</f>
        <v>0</v>
      </c>
      <c r="W2" s="270">
        <f t="shared" ref="W2:W33" ca="1" si="12">COUNTIF($H:$H,CONCATENATE($L2,V$1,1))</f>
        <v>0</v>
      </c>
      <c r="X2" s="270">
        <f t="shared" ref="X2:X33" si="13">COUNTIF($G:$G,CONCATENATE($L2,V$1))</f>
        <v>2</v>
      </c>
      <c r="Y2" s="247"/>
      <c r="Z2" s="1"/>
      <c r="AA2" s="1"/>
      <c r="AB2" s="1"/>
      <c r="AC2" s="127" t="str">
        <f>IF(VLOOKUP(AC$1,Languages!$A:$D,1,TRUE)=AC$1,VLOOKUP(AC$1,Languages!$A:$D,Kybermittari!$C$7,TRUE),NA())</f>
        <v>Kyberturvallisuuden kypsyystaso</v>
      </c>
      <c r="AD2" s="127" t="str">
        <f>IF(VLOOKUP(AD$1,Languages!$A:$D,1,TRUE)=AD$1,VLOOKUP(AD$1,Languages!$A:$D,Kybermittari!$C$7,TRUE),NA())</f>
        <v>Nykytila</v>
      </c>
      <c r="AE2" s="127" t="str">
        <f>IF(VLOOKUP(AE$1,Languages!$A:$D,1,TRUE)=AE$1,VLOOKUP(AE$1,Languages!$A:$D,Kybermittari!$C$7,TRUE),NA())</f>
        <v>Edellinen</v>
      </c>
      <c r="AF2" s="126"/>
      <c r="AG2" s="143"/>
    </row>
    <row r="3" spans="1:33" ht="14" x14ac:dyDescent="0.3">
      <c r="A3" s="293">
        <v>2</v>
      </c>
      <c r="B3" s="293" t="s">
        <v>1005</v>
      </c>
      <c r="C3" s="294" t="s">
        <v>1007</v>
      </c>
      <c r="D3" s="294" t="s">
        <v>94</v>
      </c>
      <c r="E3" s="294">
        <v>2</v>
      </c>
      <c r="F3" s="250">
        <f ca="1">VLOOKUP($D3,Data!$C:$I,7,FALSE)</f>
        <v>0</v>
      </c>
      <c r="G3" s="296" t="str">
        <f t="shared" si="0"/>
        <v>ID.AM-12</v>
      </c>
      <c r="H3" s="296" t="str">
        <f t="shared" ca="1" si="1"/>
        <v>ID.AM-120</v>
      </c>
      <c r="J3" s="247"/>
      <c r="K3" s="271"/>
      <c r="L3" s="268" t="s">
        <v>1010</v>
      </c>
      <c r="M3" s="269">
        <f t="shared" ca="1" si="2"/>
        <v>0</v>
      </c>
      <c r="N3" s="270">
        <f t="shared" ca="1" si="3"/>
        <v>0</v>
      </c>
      <c r="O3" s="270">
        <f t="shared" si="4"/>
        <v>4</v>
      </c>
      <c r="P3" s="269">
        <f t="shared" ca="1" si="5"/>
        <v>0</v>
      </c>
      <c r="Q3" s="270">
        <f t="shared" ca="1" si="6"/>
        <v>0</v>
      </c>
      <c r="R3" s="270">
        <f t="shared" si="7"/>
        <v>1</v>
      </c>
      <c r="S3" s="269">
        <f t="shared" ca="1" si="8"/>
        <v>0</v>
      </c>
      <c r="T3" s="270">
        <f t="shared" ca="1" si="9"/>
        <v>0</v>
      </c>
      <c r="U3" s="270">
        <f t="shared" si="10"/>
        <v>1</v>
      </c>
      <c r="V3" s="269">
        <f t="shared" ca="1" si="11"/>
        <v>0</v>
      </c>
      <c r="W3" s="270">
        <f t="shared" ca="1" si="12"/>
        <v>0</v>
      </c>
      <c r="X3" s="270">
        <f t="shared" si="13"/>
        <v>2</v>
      </c>
      <c r="Y3" s="247"/>
      <c r="Z3" s="43" t="s">
        <v>1285</v>
      </c>
      <c r="AA3" s="43" t="s">
        <v>961</v>
      </c>
      <c r="AB3" s="128" t="str">
        <f>IF(VLOOKUP($AA3,Languages!$A:$D,1,TRUE)=$AA3,VLOOKUP($AA3,Languages!$A:$D,Kybermittari!$C$7,TRUE),NA())</f>
        <v>Tunnistaminen</v>
      </c>
      <c r="AC3" s="145">
        <f ca="1">SUM(NISTMap!$N$2:$N$30)/SUM(NISTMap!$O$2:$O$30)</f>
        <v>0</v>
      </c>
      <c r="AD3" s="104">
        <f>VLOOKUP($Z3,Table3[#All],2,FALSE)</f>
        <v>0</v>
      </c>
      <c r="AE3" s="104">
        <f>VLOOKUP($Z3,Table5[#All],2,FALSE)</f>
        <v>0</v>
      </c>
      <c r="AF3" s="127"/>
      <c r="AG3" s="144"/>
    </row>
    <row r="4" spans="1:33" ht="14" x14ac:dyDescent="0.3">
      <c r="A4" s="293">
        <v>3</v>
      </c>
      <c r="B4" s="293" t="s">
        <v>1005</v>
      </c>
      <c r="C4" s="294" t="s">
        <v>1008</v>
      </c>
      <c r="D4" s="294" t="s">
        <v>97</v>
      </c>
      <c r="E4" s="294">
        <v>3</v>
      </c>
      <c r="F4" s="250">
        <f ca="1">VLOOKUP($D4,Data!$C:$I,7,FALSE)</f>
        <v>0</v>
      </c>
      <c r="G4" s="296" t="str">
        <f t="shared" si="0"/>
        <v>ID.AM-13</v>
      </c>
      <c r="H4" s="296" t="str">
        <f t="shared" ca="1" si="1"/>
        <v>ID.AM-130</v>
      </c>
      <c r="J4" s="247"/>
      <c r="K4" s="271"/>
      <c r="L4" s="268" t="s">
        <v>1011</v>
      </c>
      <c r="M4" s="269">
        <f t="shared" ca="1" si="2"/>
        <v>0</v>
      </c>
      <c r="N4" s="270">
        <f t="shared" ca="1" si="3"/>
        <v>0</v>
      </c>
      <c r="O4" s="270">
        <f t="shared" si="4"/>
        <v>4</v>
      </c>
      <c r="P4" s="269">
        <f t="shared" si="5"/>
        <v>0</v>
      </c>
      <c r="Q4" s="270">
        <f t="shared" ca="1" si="6"/>
        <v>0</v>
      </c>
      <c r="R4" s="270">
        <f t="shared" si="7"/>
        <v>0</v>
      </c>
      <c r="S4" s="269">
        <f t="shared" ca="1" si="8"/>
        <v>0</v>
      </c>
      <c r="T4" s="270">
        <f t="shared" ca="1" si="9"/>
        <v>0</v>
      </c>
      <c r="U4" s="270">
        <f t="shared" si="10"/>
        <v>1</v>
      </c>
      <c r="V4" s="269">
        <f t="shared" ca="1" si="11"/>
        <v>0</v>
      </c>
      <c r="W4" s="270">
        <f t="shared" ca="1" si="12"/>
        <v>0</v>
      </c>
      <c r="X4" s="270">
        <f t="shared" si="13"/>
        <v>3</v>
      </c>
      <c r="Y4" s="247"/>
      <c r="Z4" s="43" t="s">
        <v>1286</v>
      </c>
      <c r="AA4" s="43" t="s">
        <v>962</v>
      </c>
      <c r="AB4" s="128" t="str">
        <f>IF(VLOOKUP($AA4,Languages!$A:$D,1,TRUE)=$AA4,VLOOKUP($AA4,Languages!$A:$D,Kybermittari!$C$7,TRUE),NA())</f>
        <v>Suojautuminen</v>
      </c>
      <c r="AC4" s="145">
        <f ca="1">SUM(NISTMap!$N$31:$N$69)/SUM(NISTMap!$O$31:$O$69)</f>
        <v>0</v>
      </c>
      <c r="AD4" s="104">
        <f>VLOOKUP($Z4,Table3[#All],2,FALSE)</f>
        <v>0</v>
      </c>
      <c r="AE4" s="104">
        <f>VLOOKUP($Z4,Table5[#All],2,FALSE)</f>
        <v>0</v>
      </c>
      <c r="AF4" s="127"/>
      <c r="AG4" s="144"/>
    </row>
    <row r="5" spans="1:33" ht="14" x14ac:dyDescent="0.3">
      <c r="A5" s="293">
        <v>4</v>
      </c>
      <c r="B5" s="293" t="s">
        <v>1005</v>
      </c>
      <c r="C5" s="294" t="s">
        <v>1009</v>
      </c>
      <c r="D5" s="294" t="s">
        <v>99</v>
      </c>
      <c r="E5" s="294">
        <v>3</v>
      </c>
      <c r="F5" s="250">
        <f ca="1">VLOOKUP($D5,Data!$C:$I,7,FALSE)</f>
        <v>0</v>
      </c>
      <c r="G5" s="296" t="str">
        <f t="shared" si="0"/>
        <v>ID.AM-13</v>
      </c>
      <c r="H5" s="296" t="str">
        <f t="shared" ca="1" si="1"/>
        <v>ID.AM-130</v>
      </c>
      <c r="J5" s="247"/>
      <c r="K5" s="271"/>
      <c r="L5" s="268" t="s">
        <v>1012</v>
      </c>
      <c r="M5" s="269">
        <f t="shared" ca="1" si="2"/>
        <v>0</v>
      </c>
      <c r="N5" s="270">
        <f t="shared" ca="1" si="3"/>
        <v>0</v>
      </c>
      <c r="O5" s="270">
        <f t="shared" si="4"/>
        <v>5</v>
      </c>
      <c r="P5" s="269">
        <f t="shared" ca="1" si="5"/>
        <v>0</v>
      </c>
      <c r="Q5" s="270">
        <f t="shared" ca="1" si="6"/>
        <v>0</v>
      </c>
      <c r="R5" s="270">
        <f t="shared" si="7"/>
        <v>1</v>
      </c>
      <c r="S5" s="269">
        <f t="shared" ca="1" si="8"/>
        <v>0</v>
      </c>
      <c r="T5" s="270">
        <f t="shared" ca="1" si="9"/>
        <v>0</v>
      </c>
      <c r="U5" s="270">
        <f t="shared" si="10"/>
        <v>3</v>
      </c>
      <c r="V5" s="269">
        <f t="shared" ca="1" si="11"/>
        <v>0</v>
      </c>
      <c r="W5" s="270">
        <f t="shared" ca="1" si="12"/>
        <v>0</v>
      </c>
      <c r="X5" s="270">
        <f t="shared" si="13"/>
        <v>1</v>
      </c>
      <c r="Y5" s="247"/>
      <c r="Z5" s="43" t="s">
        <v>1287</v>
      </c>
      <c r="AA5" s="43" t="s">
        <v>963</v>
      </c>
      <c r="AB5" s="128" t="str">
        <f>IF(VLOOKUP($AA5,Languages!$A:$D,1,TRUE)=$AA5,VLOOKUP($AA5,Languages!$A:$D,Kybermittari!$C$7,TRUE),NA())</f>
        <v>Havainnointi</v>
      </c>
      <c r="AC5" s="145">
        <f ca="1">SUM(NISTMap!$N$70:$N$87)/SUM(NISTMap!$O$70:$O$87)</f>
        <v>0</v>
      </c>
      <c r="AD5" s="104">
        <f>VLOOKUP($Z5,Table3[#All],2,FALSE)</f>
        <v>0</v>
      </c>
      <c r="AE5" s="104">
        <f>VLOOKUP($Z5,Table5[#All],2,FALSE)</f>
        <v>0</v>
      </c>
      <c r="AF5" s="127"/>
      <c r="AG5" s="144"/>
    </row>
    <row r="6" spans="1:33" ht="14" x14ac:dyDescent="0.3">
      <c r="A6" s="293">
        <v>5</v>
      </c>
      <c r="B6" s="293" t="s">
        <v>1010</v>
      </c>
      <c r="C6" s="294" t="s">
        <v>1006</v>
      </c>
      <c r="D6" s="294" t="s">
        <v>92</v>
      </c>
      <c r="E6" s="294">
        <v>1</v>
      </c>
      <c r="F6" s="250">
        <f ca="1">VLOOKUP($D6,Data!$C:$I,7,FALSE)</f>
        <v>0</v>
      </c>
      <c r="G6" s="296" t="str">
        <f t="shared" si="0"/>
        <v>ID.AM-21</v>
      </c>
      <c r="H6" s="296" t="str">
        <f t="shared" ca="1" si="1"/>
        <v>ID.AM-210</v>
      </c>
      <c r="J6" s="247"/>
      <c r="K6" s="271"/>
      <c r="L6" s="268" t="s">
        <v>983</v>
      </c>
      <c r="M6" s="269">
        <f t="shared" ca="1" si="2"/>
        <v>0</v>
      </c>
      <c r="N6" s="270">
        <f t="shared" ca="1" si="3"/>
        <v>0</v>
      </c>
      <c r="O6" s="270">
        <f t="shared" si="4"/>
        <v>7</v>
      </c>
      <c r="P6" s="269">
        <f t="shared" ca="1" si="5"/>
        <v>0</v>
      </c>
      <c r="Q6" s="270">
        <f t="shared" ca="1" si="6"/>
        <v>0</v>
      </c>
      <c r="R6" s="270">
        <f t="shared" si="7"/>
        <v>2</v>
      </c>
      <c r="S6" s="269">
        <f t="shared" ca="1" si="8"/>
        <v>0</v>
      </c>
      <c r="T6" s="270">
        <f t="shared" ca="1" si="9"/>
        <v>0</v>
      </c>
      <c r="U6" s="270">
        <f t="shared" si="10"/>
        <v>4</v>
      </c>
      <c r="V6" s="269">
        <f t="shared" ca="1" si="11"/>
        <v>0</v>
      </c>
      <c r="W6" s="270">
        <f t="shared" ca="1" si="12"/>
        <v>0</v>
      </c>
      <c r="X6" s="270">
        <f t="shared" si="13"/>
        <v>1</v>
      </c>
      <c r="Y6" s="247"/>
      <c r="Z6" s="43" t="s">
        <v>1288</v>
      </c>
      <c r="AA6" s="43" t="s">
        <v>964</v>
      </c>
      <c r="AB6" s="128" t="str">
        <f>IF(VLOOKUP($AA6,Languages!$A:$D,1,TRUE)=$AA6,VLOOKUP($AA6,Languages!$A:$D,Kybermittari!$C$7,TRUE),NA())</f>
        <v>Reagointi</v>
      </c>
      <c r="AC6" s="145">
        <f ca="1">SUM(NISTMap!$N$88:$N$103)/SUM(NISTMap!$O$88:$O$103)</f>
        <v>0</v>
      </c>
      <c r="AD6" s="104">
        <f>VLOOKUP($Z6,Table3[#All],2,FALSE)</f>
        <v>0</v>
      </c>
      <c r="AE6" s="104">
        <f>VLOOKUP($Z6,Table5[#All],2,FALSE)</f>
        <v>0</v>
      </c>
      <c r="AF6" s="126"/>
      <c r="AG6" s="144"/>
    </row>
    <row r="7" spans="1:33" ht="14" x14ac:dyDescent="0.3">
      <c r="A7" s="293">
        <v>6</v>
      </c>
      <c r="B7" s="293" t="s">
        <v>1010</v>
      </c>
      <c r="C7" s="294" t="s">
        <v>1007</v>
      </c>
      <c r="D7" s="294" t="s">
        <v>94</v>
      </c>
      <c r="E7" s="294">
        <v>2</v>
      </c>
      <c r="F7" s="250">
        <f ca="1">VLOOKUP($D7,Data!$C:$I,7,FALSE)</f>
        <v>0</v>
      </c>
      <c r="G7" s="296" t="str">
        <f t="shared" si="0"/>
        <v>ID.AM-22</v>
      </c>
      <c r="H7" s="296" t="str">
        <f t="shared" ca="1" si="1"/>
        <v>ID.AM-220</v>
      </c>
      <c r="J7" s="247"/>
      <c r="K7" s="267"/>
      <c r="L7" s="268" t="s">
        <v>1019</v>
      </c>
      <c r="M7" s="269">
        <f t="shared" ca="1" si="2"/>
        <v>0</v>
      </c>
      <c r="N7" s="270">
        <f t="shared" ca="1" si="3"/>
        <v>0</v>
      </c>
      <c r="O7" s="270">
        <f t="shared" si="4"/>
        <v>4</v>
      </c>
      <c r="P7" s="269">
        <f t="shared" ca="1" si="5"/>
        <v>0</v>
      </c>
      <c r="Q7" s="270">
        <f t="shared" ca="1" si="6"/>
        <v>0</v>
      </c>
      <c r="R7" s="270">
        <f t="shared" si="7"/>
        <v>2</v>
      </c>
      <c r="S7" s="269">
        <f t="shared" ca="1" si="8"/>
        <v>0</v>
      </c>
      <c r="T7" s="270">
        <f t="shared" ca="1" si="9"/>
        <v>0</v>
      </c>
      <c r="U7" s="270">
        <f t="shared" si="10"/>
        <v>2</v>
      </c>
      <c r="V7" s="269">
        <f t="shared" si="11"/>
        <v>0</v>
      </c>
      <c r="W7" s="270">
        <f t="shared" ca="1" si="12"/>
        <v>0</v>
      </c>
      <c r="X7" s="270">
        <f t="shared" si="13"/>
        <v>0</v>
      </c>
      <c r="Y7" s="247"/>
      <c r="Z7" s="43" t="s">
        <v>1289</v>
      </c>
      <c r="AA7" s="43" t="s">
        <v>965</v>
      </c>
      <c r="AB7" s="128" t="str">
        <f>IF(VLOOKUP($AA7,Languages!$A:$D,1,TRUE)=$AA7,VLOOKUP($AA7,Languages!$A:$D,Kybermittari!$C$7,TRUE),NA())</f>
        <v>Palautuminen</v>
      </c>
      <c r="AC7" s="145">
        <f ca="1">SUM(NISTMap!$N$104:$N$109)/SUM(NISTMap!$O$104:$O$109)</f>
        <v>0</v>
      </c>
      <c r="AD7" s="104">
        <f>VLOOKUP($Z7,Table3[#All],2,FALSE)</f>
        <v>0</v>
      </c>
      <c r="AE7" s="104">
        <f>VLOOKUP($Z7,Table5[#All],2,FALSE)</f>
        <v>0</v>
      </c>
      <c r="AF7" s="127"/>
      <c r="AG7" s="144"/>
    </row>
    <row r="8" spans="1:33" ht="14" x14ac:dyDescent="0.3">
      <c r="A8" s="293">
        <v>7</v>
      </c>
      <c r="B8" s="293" t="s">
        <v>1010</v>
      </c>
      <c r="C8" s="294" t="s">
        <v>1008</v>
      </c>
      <c r="D8" s="294" t="s">
        <v>97</v>
      </c>
      <c r="E8" s="294">
        <v>3</v>
      </c>
      <c r="F8" s="250">
        <f ca="1">VLOOKUP($D8,Data!$C:$I,7,FALSE)</f>
        <v>0</v>
      </c>
      <c r="G8" s="296" t="str">
        <f t="shared" si="0"/>
        <v>ID.AM-23</v>
      </c>
      <c r="H8" s="296" t="str">
        <f t="shared" ca="1" si="1"/>
        <v>ID.AM-230</v>
      </c>
      <c r="J8" s="247"/>
      <c r="K8" s="267" t="s">
        <v>1252</v>
      </c>
      <c r="L8" s="268" t="s">
        <v>1023</v>
      </c>
      <c r="M8" s="269">
        <f t="shared" ca="1" si="2"/>
        <v>0</v>
      </c>
      <c r="N8" s="270">
        <f t="shared" ca="1" si="3"/>
        <v>0</v>
      </c>
      <c r="O8" s="270">
        <f t="shared" si="4"/>
        <v>5</v>
      </c>
      <c r="P8" s="269">
        <f t="shared" ca="1" si="5"/>
        <v>0</v>
      </c>
      <c r="Q8" s="270">
        <f t="shared" ca="1" si="6"/>
        <v>0</v>
      </c>
      <c r="R8" s="270">
        <f t="shared" si="7"/>
        <v>1</v>
      </c>
      <c r="S8" s="269">
        <f t="shared" ca="1" si="8"/>
        <v>0</v>
      </c>
      <c r="T8" s="270">
        <f t="shared" ca="1" si="9"/>
        <v>0</v>
      </c>
      <c r="U8" s="270">
        <f t="shared" si="10"/>
        <v>3</v>
      </c>
      <c r="V8" s="269">
        <f t="shared" ca="1" si="11"/>
        <v>0</v>
      </c>
      <c r="W8" s="270">
        <f t="shared" ca="1" si="12"/>
        <v>0</v>
      </c>
      <c r="X8" s="270">
        <f t="shared" si="13"/>
        <v>1</v>
      </c>
      <c r="Y8" s="247"/>
      <c r="Z8" s="127"/>
      <c r="AA8" s="127"/>
      <c r="AB8" s="127"/>
      <c r="AC8" s="127"/>
      <c r="AD8" s="127"/>
      <c r="AE8" s="127"/>
      <c r="AF8" s="127"/>
      <c r="AG8" s="144"/>
    </row>
    <row r="9" spans="1:33" ht="14" x14ac:dyDescent="0.3">
      <c r="A9" s="293">
        <v>8</v>
      </c>
      <c r="B9" s="293" t="s">
        <v>1010</v>
      </c>
      <c r="C9" s="294" t="s">
        <v>1009</v>
      </c>
      <c r="D9" s="294" t="s">
        <v>99</v>
      </c>
      <c r="E9" s="294">
        <v>3</v>
      </c>
      <c r="F9" s="250">
        <f ca="1">VLOOKUP($D9,Data!$C:$I,7,FALSE)</f>
        <v>0</v>
      </c>
      <c r="G9" s="296" t="str">
        <f t="shared" si="0"/>
        <v>ID.AM-23</v>
      </c>
      <c r="H9" s="296" t="str">
        <f t="shared" ca="1" si="1"/>
        <v>ID.AM-230</v>
      </c>
      <c r="J9" s="247"/>
      <c r="K9" s="271"/>
      <c r="L9" s="268" t="s">
        <v>1027</v>
      </c>
      <c r="M9" s="269">
        <f t="shared" ca="1" si="2"/>
        <v>0</v>
      </c>
      <c r="N9" s="270">
        <f t="shared" ca="1" si="3"/>
        <v>0</v>
      </c>
      <c r="O9" s="270">
        <f t="shared" si="4"/>
        <v>6</v>
      </c>
      <c r="P9" s="269">
        <f t="shared" ca="1" si="5"/>
        <v>0</v>
      </c>
      <c r="Q9" s="270">
        <f t="shared" ca="1" si="6"/>
        <v>0</v>
      </c>
      <c r="R9" s="270">
        <f t="shared" si="7"/>
        <v>1</v>
      </c>
      <c r="S9" s="269">
        <f t="shared" ca="1" si="8"/>
        <v>0</v>
      </c>
      <c r="T9" s="270">
        <f t="shared" ca="1" si="9"/>
        <v>0</v>
      </c>
      <c r="U9" s="270">
        <f t="shared" si="10"/>
        <v>4</v>
      </c>
      <c r="V9" s="269">
        <f t="shared" ca="1" si="11"/>
        <v>0</v>
      </c>
      <c r="W9" s="270">
        <f t="shared" ca="1" si="12"/>
        <v>0</v>
      </c>
      <c r="X9" s="270">
        <f t="shared" si="13"/>
        <v>1</v>
      </c>
      <c r="Y9" s="247"/>
      <c r="Z9" s="127"/>
      <c r="AA9" s="127"/>
      <c r="AB9" s="127"/>
      <c r="AC9" s="127"/>
      <c r="AD9" s="127"/>
      <c r="AE9" s="127"/>
      <c r="AF9" s="127"/>
      <c r="AG9" s="144"/>
    </row>
    <row r="10" spans="1:33" ht="14" x14ac:dyDescent="0.3">
      <c r="A10" s="293">
        <v>10</v>
      </c>
      <c r="B10" s="293" t="s">
        <v>1011</v>
      </c>
      <c r="C10" s="294" t="s">
        <v>1008</v>
      </c>
      <c r="D10" s="294" t="s">
        <v>97</v>
      </c>
      <c r="E10" s="294">
        <v>3</v>
      </c>
      <c r="F10" s="250">
        <f ca="1">VLOOKUP($D10,Data!$C:$I,7,FALSE)</f>
        <v>0</v>
      </c>
      <c r="G10" s="296" t="str">
        <f t="shared" si="0"/>
        <v>ID.AM-33</v>
      </c>
      <c r="H10" s="296" t="str">
        <f t="shared" ca="1" si="1"/>
        <v>ID.AM-330</v>
      </c>
      <c r="J10" s="247"/>
      <c r="K10" s="271"/>
      <c r="L10" s="268" t="s">
        <v>1029</v>
      </c>
      <c r="M10" s="269">
        <f t="shared" ca="1" si="2"/>
        <v>0</v>
      </c>
      <c r="N10" s="270">
        <f t="shared" ca="1" si="3"/>
        <v>0</v>
      </c>
      <c r="O10" s="270">
        <f t="shared" si="4"/>
        <v>1</v>
      </c>
      <c r="P10" s="269">
        <f t="shared" si="5"/>
        <v>0</v>
      </c>
      <c r="Q10" s="270">
        <f t="shared" ca="1" si="6"/>
        <v>0</v>
      </c>
      <c r="R10" s="270">
        <f t="shared" si="7"/>
        <v>0</v>
      </c>
      <c r="S10" s="269">
        <f t="shared" ca="1" si="8"/>
        <v>0</v>
      </c>
      <c r="T10" s="270">
        <f t="shared" ca="1" si="9"/>
        <v>0</v>
      </c>
      <c r="U10" s="270">
        <f t="shared" si="10"/>
        <v>1</v>
      </c>
      <c r="V10" s="269">
        <f t="shared" si="11"/>
        <v>0</v>
      </c>
      <c r="W10" s="270">
        <f t="shared" ca="1" si="12"/>
        <v>0</v>
      </c>
      <c r="X10" s="270">
        <f t="shared" si="13"/>
        <v>0</v>
      </c>
      <c r="Y10" s="247"/>
      <c r="Z10" s="127"/>
      <c r="AA10" s="127"/>
      <c r="AB10" s="127"/>
      <c r="AC10" s="127"/>
      <c r="AD10" s="127"/>
      <c r="AE10" s="127"/>
      <c r="AF10" s="127"/>
      <c r="AG10" s="144"/>
    </row>
    <row r="11" spans="1:33" ht="14" x14ac:dyDescent="0.3">
      <c r="A11" s="293">
        <v>11</v>
      </c>
      <c r="B11" s="293" t="s">
        <v>1012</v>
      </c>
      <c r="C11" s="294" t="s">
        <v>1013</v>
      </c>
      <c r="D11" s="294" t="s">
        <v>290</v>
      </c>
      <c r="E11" s="294">
        <v>1</v>
      </c>
      <c r="F11" s="250">
        <f ca="1">VLOOKUP($D11,Data!$C:$I,7,FALSE)</f>
        <v>0</v>
      </c>
      <c r="G11" s="296" t="str">
        <f t="shared" si="0"/>
        <v>ID.AM-41</v>
      </c>
      <c r="H11" s="296" t="str">
        <f t="shared" ca="1" si="1"/>
        <v>ID.AM-410</v>
      </c>
      <c r="J11" s="247"/>
      <c r="K11" s="271"/>
      <c r="L11" s="268" t="s">
        <v>984</v>
      </c>
      <c r="M11" s="269">
        <f t="shared" ca="1" si="2"/>
        <v>0</v>
      </c>
      <c r="N11" s="270">
        <f t="shared" ca="1" si="3"/>
        <v>0</v>
      </c>
      <c r="O11" s="270">
        <f t="shared" si="4"/>
        <v>17</v>
      </c>
      <c r="P11" s="269">
        <f t="shared" ca="1" si="5"/>
        <v>0</v>
      </c>
      <c r="Q11" s="270">
        <f t="shared" ca="1" si="6"/>
        <v>0</v>
      </c>
      <c r="R11" s="270">
        <f t="shared" si="7"/>
        <v>3</v>
      </c>
      <c r="S11" s="269">
        <f t="shared" ca="1" si="8"/>
        <v>0</v>
      </c>
      <c r="T11" s="270">
        <f t="shared" ca="1" si="9"/>
        <v>0</v>
      </c>
      <c r="U11" s="270">
        <f t="shared" si="10"/>
        <v>7</v>
      </c>
      <c r="V11" s="269">
        <f t="shared" ca="1" si="11"/>
        <v>0</v>
      </c>
      <c r="W11" s="270">
        <f t="shared" ca="1" si="12"/>
        <v>0</v>
      </c>
      <c r="X11" s="270">
        <f t="shared" si="13"/>
        <v>7</v>
      </c>
      <c r="Y11" s="247"/>
      <c r="Z11" s="127"/>
      <c r="AA11" s="127"/>
      <c r="AB11" s="127"/>
      <c r="AC11" s="127"/>
      <c r="AD11" s="127"/>
      <c r="AE11" s="127"/>
      <c r="AF11" s="127"/>
      <c r="AG11" s="144"/>
    </row>
    <row r="12" spans="1:33" ht="14" x14ac:dyDescent="0.3">
      <c r="A12" s="293">
        <v>12</v>
      </c>
      <c r="B12" s="293" t="s">
        <v>1012</v>
      </c>
      <c r="C12" s="294" t="s">
        <v>1014</v>
      </c>
      <c r="D12" s="294" t="s">
        <v>292</v>
      </c>
      <c r="E12" s="294">
        <v>2</v>
      </c>
      <c r="F12" s="250">
        <f ca="1">VLOOKUP($D12,Data!$C:$I,7,FALSE)</f>
        <v>0</v>
      </c>
      <c r="G12" s="296" t="str">
        <f t="shared" si="0"/>
        <v>ID.AM-42</v>
      </c>
      <c r="H12" s="296" t="str">
        <f t="shared" ca="1" si="1"/>
        <v>ID.AM-420</v>
      </c>
      <c r="J12" s="247"/>
      <c r="K12" s="267"/>
      <c r="L12" s="268" t="s">
        <v>1030</v>
      </c>
      <c r="M12" s="269">
        <f t="shared" ca="1" si="2"/>
        <v>0</v>
      </c>
      <c r="N12" s="270">
        <f t="shared" ca="1" si="3"/>
        <v>0</v>
      </c>
      <c r="O12" s="270">
        <f t="shared" si="4"/>
        <v>5</v>
      </c>
      <c r="P12" s="269">
        <f t="shared" ca="1" si="5"/>
        <v>0</v>
      </c>
      <c r="Q12" s="270">
        <f t="shared" ca="1" si="6"/>
        <v>0</v>
      </c>
      <c r="R12" s="270">
        <f t="shared" si="7"/>
        <v>1</v>
      </c>
      <c r="S12" s="269">
        <f t="shared" ca="1" si="8"/>
        <v>0</v>
      </c>
      <c r="T12" s="270">
        <f t="shared" ca="1" si="9"/>
        <v>0</v>
      </c>
      <c r="U12" s="270">
        <f t="shared" si="10"/>
        <v>4</v>
      </c>
      <c r="V12" s="269">
        <f t="shared" si="11"/>
        <v>0</v>
      </c>
      <c r="W12" s="270">
        <f t="shared" ca="1" si="12"/>
        <v>0</v>
      </c>
      <c r="X12" s="270">
        <f t="shared" si="13"/>
        <v>0</v>
      </c>
      <c r="Y12" s="247"/>
      <c r="Z12" s="127"/>
      <c r="AA12" s="127"/>
      <c r="AB12" s="127"/>
      <c r="AC12" s="127"/>
      <c r="AD12" s="127"/>
      <c r="AE12" s="127"/>
      <c r="AF12" s="126"/>
      <c r="AG12" s="144"/>
    </row>
    <row r="13" spans="1:33" ht="14" x14ac:dyDescent="0.3">
      <c r="A13" s="293">
        <v>13</v>
      </c>
      <c r="B13" s="293" t="s">
        <v>1012</v>
      </c>
      <c r="C13" s="294" t="s">
        <v>1015</v>
      </c>
      <c r="D13" s="294" t="s">
        <v>294</v>
      </c>
      <c r="E13" s="294">
        <v>2</v>
      </c>
      <c r="F13" s="250">
        <f ca="1">VLOOKUP($D13,Data!$C:$I,7,FALSE)</f>
        <v>0</v>
      </c>
      <c r="G13" s="296" t="str">
        <f t="shared" si="0"/>
        <v>ID.AM-42</v>
      </c>
      <c r="H13" s="296" t="str">
        <f t="shared" ca="1" si="1"/>
        <v>ID.AM-420</v>
      </c>
      <c r="J13" s="247"/>
      <c r="K13" s="267" t="s">
        <v>1253</v>
      </c>
      <c r="L13" s="268" t="s">
        <v>1035</v>
      </c>
      <c r="M13" s="269">
        <f t="shared" ca="1" si="2"/>
        <v>0</v>
      </c>
      <c r="N13" s="270">
        <f t="shared" ca="1" si="3"/>
        <v>0</v>
      </c>
      <c r="O13" s="270">
        <f t="shared" si="4"/>
        <v>3</v>
      </c>
      <c r="P13" s="269">
        <f t="shared" si="5"/>
        <v>0</v>
      </c>
      <c r="Q13" s="270">
        <f t="shared" ca="1" si="6"/>
        <v>0</v>
      </c>
      <c r="R13" s="270">
        <f t="shared" si="7"/>
        <v>0</v>
      </c>
      <c r="S13" s="269">
        <f t="shared" ca="1" si="8"/>
        <v>0</v>
      </c>
      <c r="T13" s="270">
        <f t="shared" ca="1" si="9"/>
        <v>0</v>
      </c>
      <c r="U13" s="270">
        <f t="shared" si="10"/>
        <v>1</v>
      </c>
      <c r="V13" s="269">
        <f t="shared" ca="1" si="11"/>
        <v>0</v>
      </c>
      <c r="W13" s="270">
        <f t="shared" ca="1" si="12"/>
        <v>0</v>
      </c>
      <c r="X13" s="270">
        <f t="shared" si="13"/>
        <v>2</v>
      </c>
      <c r="Y13" s="247"/>
      <c r="Z13" s="127"/>
      <c r="AA13" s="127"/>
      <c r="AB13" s="127"/>
      <c r="AC13" s="127"/>
      <c r="AD13" s="127"/>
      <c r="AE13" s="127"/>
      <c r="AF13" s="127"/>
      <c r="AG13" s="144"/>
    </row>
    <row r="14" spans="1:33" ht="14.5" thickBot="1" x14ac:dyDescent="0.35">
      <c r="A14" s="293">
        <v>14</v>
      </c>
      <c r="B14" s="293" t="s">
        <v>1012</v>
      </c>
      <c r="C14" s="294" t="s">
        <v>1016</v>
      </c>
      <c r="D14" s="294" t="s">
        <v>296</v>
      </c>
      <c r="E14" s="294">
        <v>3</v>
      </c>
      <c r="F14" s="250">
        <f ca="1">VLOOKUP($D14,Data!$C:$I,7,FALSE)</f>
        <v>0</v>
      </c>
      <c r="G14" s="296" t="str">
        <f t="shared" si="0"/>
        <v>ID.AM-43</v>
      </c>
      <c r="H14" s="296" t="str">
        <f t="shared" ca="1" si="1"/>
        <v>ID.AM-430</v>
      </c>
      <c r="J14" s="247"/>
      <c r="K14" s="271"/>
      <c r="L14" s="268" t="s">
        <v>985</v>
      </c>
      <c r="M14" s="269">
        <f t="shared" ca="1" si="2"/>
        <v>0</v>
      </c>
      <c r="N14" s="270">
        <f t="shared" ca="1" si="3"/>
        <v>0</v>
      </c>
      <c r="O14" s="270">
        <f t="shared" si="4"/>
        <v>6</v>
      </c>
      <c r="P14" s="269">
        <f t="shared" ca="1" si="5"/>
        <v>0</v>
      </c>
      <c r="Q14" s="270">
        <f t="shared" ca="1" si="6"/>
        <v>0</v>
      </c>
      <c r="R14" s="270">
        <f t="shared" si="7"/>
        <v>2</v>
      </c>
      <c r="S14" s="269">
        <f t="shared" ca="1" si="8"/>
        <v>0</v>
      </c>
      <c r="T14" s="270">
        <f t="shared" ca="1" si="9"/>
        <v>0</v>
      </c>
      <c r="U14" s="270">
        <f t="shared" si="10"/>
        <v>2</v>
      </c>
      <c r="V14" s="269">
        <f t="shared" ca="1" si="11"/>
        <v>0</v>
      </c>
      <c r="W14" s="270">
        <f t="shared" ca="1" si="12"/>
        <v>0</v>
      </c>
      <c r="X14" s="270">
        <f t="shared" si="13"/>
        <v>2</v>
      </c>
      <c r="Y14" s="247"/>
      <c r="Z14" s="127"/>
      <c r="AA14" s="127"/>
      <c r="AB14" s="127"/>
      <c r="AC14" s="127"/>
      <c r="AD14" s="127"/>
      <c r="AE14" s="127"/>
      <c r="AF14" s="127"/>
      <c r="AG14" s="127"/>
    </row>
    <row r="15" spans="1:33" ht="14.5" thickBot="1" x14ac:dyDescent="0.35">
      <c r="A15" s="293">
        <v>15</v>
      </c>
      <c r="B15" s="293" t="s">
        <v>1012</v>
      </c>
      <c r="C15" s="294" t="s">
        <v>1017</v>
      </c>
      <c r="D15" s="294" t="s">
        <v>65</v>
      </c>
      <c r="E15" s="294">
        <v>2</v>
      </c>
      <c r="F15" s="250">
        <f ca="1">VLOOKUP($D15,Data!$C:$I,7,FALSE)</f>
        <v>0</v>
      </c>
      <c r="G15" s="296" t="str">
        <f t="shared" si="0"/>
        <v>ID.AM-42</v>
      </c>
      <c r="H15" s="296" t="str">
        <f t="shared" ca="1" si="1"/>
        <v>ID.AM-420</v>
      </c>
      <c r="J15" s="247"/>
      <c r="K15" s="271"/>
      <c r="L15" s="268" t="s">
        <v>986</v>
      </c>
      <c r="M15" s="269">
        <f t="shared" ca="1" si="2"/>
        <v>0</v>
      </c>
      <c r="N15" s="270">
        <f t="shared" ca="1" si="3"/>
        <v>0</v>
      </c>
      <c r="O15" s="270">
        <f t="shared" si="4"/>
        <v>2</v>
      </c>
      <c r="P15" s="269">
        <f t="shared" si="5"/>
        <v>0</v>
      </c>
      <c r="Q15" s="270">
        <f t="shared" ca="1" si="6"/>
        <v>0</v>
      </c>
      <c r="R15" s="270">
        <f t="shared" si="7"/>
        <v>0</v>
      </c>
      <c r="S15" s="269">
        <f t="shared" ca="1" si="8"/>
        <v>0</v>
      </c>
      <c r="T15" s="270">
        <f t="shared" ca="1" si="9"/>
        <v>0</v>
      </c>
      <c r="U15" s="270">
        <f t="shared" si="10"/>
        <v>1</v>
      </c>
      <c r="V15" s="269">
        <f t="shared" ca="1" si="11"/>
        <v>0</v>
      </c>
      <c r="W15" s="270">
        <f t="shared" ca="1" si="12"/>
        <v>0</v>
      </c>
      <c r="X15" s="270">
        <f t="shared" si="13"/>
        <v>1</v>
      </c>
      <c r="Y15" s="247"/>
      <c r="Z15" s="127"/>
      <c r="AA15" s="51" t="s">
        <v>2461</v>
      </c>
      <c r="AB15" s="34" t="s">
        <v>2462</v>
      </c>
      <c r="AC15" s="34" t="s">
        <v>2463</v>
      </c>
      <c r="AD15" s="34" t="s">
        <v>2464</v>
      </c>
      <c r="AE15" s="34" t="s">
        <v>2465</v>
      </c>
      <c r="AG15" s="127"/>
    </row>
    <row r="16" spans="1:33" ht="14" x14ac:dyDescent="0.3">
      <c r="A16" s="293">
        <v>16</v>
      </c>
      <c r="B16" s="293" t="s">
        <v>983</v>
      </c>
      <c r="C16" s="294" t="s">
        <v>1006</v>
      </c>
      <c r="D16" s="294" t="s">
        <v>92</v>
      </c>
      <c r="E16" s="294">
        <v>1</v>
      </c>
      <c r="F16" s="250">
        <f ca="1">VLOOKUP($D16,Data!$C:$I,7,FALSE)</f>
        <v>0</v>
      </c>
      <c r="G16" s="296" t="str">
        <f t="shared" si="0"/>
        <v>ID.AM-51</v>
      </c>
      <c r="H16" s="296" t="str">
        <f t="shared" ca="1" si="1"/>
        <v>ID.AM-510</v>
      </c>
      <c r="J16" s="247"/>
      <c r="K16" s="267"/>
      <c r="L16" s="268" t="s">
        <v>1043</v>
      </c>
      <c r="M16" s="269">
        <f t="shared" ca="1" si="2"/>
        <v>0</v>
      </c>
      <c r="N16" s="270">
        <f t="shared" ca="1" si="3"/>
        <v>0</v>
      </c>
      <c r="O16" s="270">
        <f t="shared" si="4"/>
        <v>6</v>
      </c>
      <c r="P16" s="269">
        <f t="shared" ca="1" si="5"/>
        <v>0</v>
      </c>
      <c r="Q16" s="270">
        <f t="shared" ca="1" si="6"/>
        <v>0</v>
      </c>
      <c r="R16" s="270">
        <f t="shared" si="7"/>
        <v>2</v>
      </c>
      <c r="S16" s="269">
        <f t="shared" ca="1" si="8"/>
        <v>0</v>
      </c>
      <c r="T16" s="270">
        <f t="shared" ca="1" si="9"/>
        <v>0</v>
      </c>
      <c r="U16" s="270">
        <f t="shared" si="10"/>
        <v>1</v>
      </c>
      <c r="V16" s="269">
        <f t="shared" ca="1" si="11"/>
        <v>0</v>
      </c>
      <c r="W16" s="270">
        <f t="shared" ca="1" si="12"/>
        <v>0</v>
      </c>
      <c r="X16" s="270">
        <f t="shared" si="13"/>
        <v>3</v>
      </c>
      <c r="Y16" s="247"/>
      <c r="Z16" s="127"/>
      <c r="AA16" s="127"/>
      <c r="AB16" s="127">
        <f>Parameters!$B$4</f>
        <v>0.3</v>
      </c>
      <c r="AC16" s="127">
        <f>Parameters!$B$5-Parameters!$B$4</f>
        <v>0.3</v>
      </c>
      <c r="AD16" s="127">
        <f>Parameters!$B$6-Parameters!$B$5</f>
        <v>0.30000000000000004</v>
      </c>
      <c r="AE16" s="127">
        <f>1-Parameters!$B$6</f>
        <v>9.9999999999999978E-2</v>
      </c>
      <c r="AG16" s="127"/>
    </row>
    <row r="17" spans="1:33" ht="14" x14ac:dyDescent="0.3">
      <c r="A17" s="293">
        <v>17</v>
      </c>
      <c r="B17" s="293" t="s">
        <v>983</v>
      </c>
      <c r="C17" s="294" t="s">
        <v>2500</v>
      </c>
      <c r="D17" s="294" t="s">
        <v>103</v>
      </c>
      <c r="E17" s="294">
        <v>1</v>
      </c>
      <c r="F17" s="250">
        <f ca="1">VLOOKUP($D17,Data!$C:$I,7,FALSE)</f>
        <v>0</v>
      </c>
      <c r="G17" s="296" t="str">
        <f t="shared" si="0"/>
        <v>ID.AM-51</v>
      </c>
      <c r="H17" s="296" t="str">
        <f t="shared" ca="1" si="1"/>
        <v>ID.AM-510</v>
      </c>
      <c r="J17" s="247"/>
      <c r="K17" s="267" t="s">
        <v>1254</v>
      </c>
      <c r="L17" s="268" t="s">
        <v>1048</v>
      </c>
      <c r="M17" s="269">
        <f t="shared" ca="1" si="2"/>
        <v>0</v>
      </c>
      <c r="N17" s="270">
        <f t="shared" ca="1" si="3"/>
        <v>0</v>
      </c>
      <c r="O17" s="270">
        <f t="shared" si="4"/>
        <v>12</v>
      </c>
      <c r="P17" s="269">
        <f t="shared" ca="1" si="5"/>
        <v>0</v>
      </c>
      <c r="Q17" s="270">
        <f t="shared" ca="1" si="6"/>
        <v>0</v>
      </c>
      <c r="R17" s="270">
        <f t="shared" si="7"/>
        <v>4</v>
      </c>
      <c r="S17" s="269">
        <f t="shared" ca="1" si="8"/>
        <v>0</v>
      </c>
      <c r="T17" s="270">
        <f t="shared" ca="1" si="9"/>
        <v>0</v>
      </c>
      <c r="U17" s="270">
        <f t="shared" si="10"/>
        <v>5</v>
      </c>
      <c r="V17" s="269">
        <f t="shared" ca="1" si="11"/>
        <v>0</v>
      </c>
      <c r="W17" s="270">
        <f t="shared" ca="1" si="12"/>
        <v>0</v>
      </c>
      <c r="X17" s="270">
        <f t="shared" si="13"/>
        <v>3</v>
      </c>
      <c r="Y17" s="247"/>
      <c r="Z17" s="127"/>
      <c r="AA17" s="127"/>
      <c r="AB17" s="127">
        <f>Parameters!$B$4</f>
        <v>0.3</v>
      </c>
      <c r="AC17" s="127">
        <f>Parameters!$B$5-Parameters!$B$4</f>
        <v>0.3</v>
      </c>
      <c r="AD17" s="127">
        <f>Parameters!$B$6-Parameters!$B$5</f>
        <v>0.30000000000000004</v>
      </c>
      <c r="AE17" s="127">
        <f>1-Parameters!$B$6</f>
        <v>9.9999999999999978E-2</v>
      </c>
      <c r="AG17" s="127"/>
    </row>
    <row r="18" spans="1:33" ht="14" x14ac:dyDescent="0.3">
      <c r="A18" s="293">
        <v>18</v>
      </c>
      <c r="B18" s="293" t="s">
        <v>983</v>
      </c>
      <c r="C18" s="294" t="s">
        <v>1007</v>
      </c>
      <c r="D18" s="294" t="s">
        <v>94</v>
      </c>
      <c r="E18" s="294">
        <v>2</v>
      </c>
      <c r="F18" s="250">
        <f ca="1">VLOOKUP($D18,Data!$C:$I,7,FALSE)</f>
        <v>0</v>
      </c>
      <c r="G18" s="296" t="str">
        <f t="shared" si="0"/>
        <v>ID.AM-52</v>
      </c>
      <c r="H18" s="296" t="str">
        <f t="shared" ca="1" si="1"/>
        <v>ID.AM-520</v>
      </c>
      <c r="J18" s="247"/>
      <c r="K18" s="271"/>
      <c r="L18" s="268" t="s">
        <v>1057</v>
      </c>
      <c r="M18" s="269">
        <f t="shared" ca="1" si="2"/>
        <v>0</v>
      </c>
      <c r="N18" s="270">
        <f t="shared" ca="1" si="3"/>
        <v>0</v>
      </c>
      <c r="O18" s="270">
        <f t="shared" si="4"/>
        <v>7</v>
      </c>
      <c r="P18" s="269">
        <f t="shared" ca="1" si="5"/>
        <v>0</v>
      </c>
      <c r="Q18" s="270">
        <f t="shared" ca="1" si="6"/>
        <v>0</v>
      </c>
      <c r="R18" s="270">
        <f t="shared" si="7"/>
        <v>5</v>
      </c>
      <c r="S18" s="269">
        <f t="shared" ca="1" si="8"/>
        <v>0</v>
      </c>
      <c r="T18" s="270">
        <f t="shared" ca="1" si="9"/>
        <v>0</v>
      </c>
      <c r="U18" s="270">
        <f t="shared" si="10"/>
        <v>1</v>
      </c>
      <c r="V18" s="269">
        <f t="shared" ca="1" si="11"/>
        <v>0</v>
      </c>
      <c r="W18" s="270">
        <f t="shared" ca="1" si="12"/>
        <v>0</v>
      </c>
      <c r="X18" s="270">
        <f t="shared" si="13"/>
        <v>1</v>
      </c>
      <c r="Y18" s="247"/>
      <c r="Z18" s="126"/>
      <c r="AA18" s="126"/>
      <c r="AB18" s="127">
        <f>Parameters!$B$4</f>
        <v>0.3</v>
      </c>
      <c r="AC18" s="127">
        <f>Parameters!$B$5-Parameters!$B$4</f>
        <v>0.3</v>
      </c>
      <c r="AD18" s="127">
        <f>Parameters!$B$6-Parameters!$B$5</f>
        <v>0.30000000000000004</v>
      </c>
      <c r="AE18" s="127">
        <f>1-Parameters!$B$6</f>
        <v>9.9999999999999978E-2</v>
      </c>
      <c r="AG18" s="126"/>
    </row>
    <row r="19" spans="1:33" ht="14" x14ac:dyDescent="0.3">
      <c r="A19" s="293">
        <v>19</v>
      </c>
      <c r="B19" s="293" t="s">
        <v>983</v>
      </c>
      <c r="C19" s="294" t="s">
        <v>1018</v>
      </c>
      <c r="D19" s="294" t="s">
        <v>95</v>
      </c>
      <c r="E19" s="294">
        <v>2</v>
      </c>
      <c r="F19" s="250">
        <f ca="1">VLOOKUP($D19,Data!$C:$I,7,FALSE)</f>
        <v>0</v>
      </c>
      <c r="G19" s="296" t="str">
        <f t="shared" si="0"/>
        <v>ID.AM-52</v>
      </c>
      <c r="H19" s="296" t="str">
        <f t="shared" ca="1" si="1"/>
        <v>ID.AM-520</v>
      </c>
      <c r="J19" s="247"/>
      <c r="K19" s="271"/>
      <c r="L19" s="268" t="s">
        <v>1060</v>
      </c>
      <c r="M19" s="269">
        <f t="shared" ca="1" si="2"/>
        <v>0</v>
      </c>
      <c r="N19" s="270">
        <f t="shared" ca="1" si="3"/>
        <v>0</v>
      </c>
      <c r="O19" s="270">
        <f t="shared" si="4"/>
        <v>7</v>
      </c>
      <c r="P19" s="269">
        <f t="shared" ca="1" si="5"/>
        <v>0</v>
      </c>
      <c r="Q19" s="270">
        <f t="shared" ca="1" si="6"/>
        <v>0</v>
      </c>
      <c r="R19" s="270">
        <f t="shared" si="7"/>
        <v>2</v>
      </c>
      <c r="S19" s="269">
        <f t="shared" ca="1" si="8"/>
        <v>0</v>
      </c>
      <c r="T19" s="270">
        <f t="shared" ca="1" si="9"/>
        <v>0</v>
      </c>
      <c r="U19" s="270">
        <f t="shared" si="10"/>
        <v>4</v>
      </c>
      <c r="V19" s="269">
        <f t="shared" ca="1" si="11"/>
        <v>0</v>
      </c>
      <c r="W19" s="270">
        <f t="shared" ca="1" si="12"/>
        <v>0</v>
      </c>
      <c r="X19" s="270">
        <f t="shared" si="13"/>
        <v>1</v>
      </c>
      <c r="Y19" s="247"/>
      <c r="Z19" s="127"/>
      <c r="AA19" s="127"/>
      <c r="AB19" s="127">
        <f>Parameters!$B$4</f>
        <v>0.3</v>
      </c>
      <c r="AC19" s="127">
        <f>Parameters!$B$5-Parameters!$B$4</f>
        <v>0.3</v>
      </c>
      <c r="AD19" s="127">
        <f>Parameters!$B$6-Parameters!$B$5</f>
        <v>0.30000000000000004</v>
      </c>
      <c r="AE19" s="127">
        <f>1-Parameters!$B$6</f>
        <v>9.9999999999999978E-2</v>
      </c>
      <c r="AG19" s="127"/>
    </row>
    <row r="20" spans="1:33" ht="14" x14ac:dyDescent="0.3">
      <c r="A20" s="293">
        <v>20</v>
      </c>
      <c r="B20" s="293" t="s">
        <v>1019</v>
      </c>
      <c r="C20" s="294" t="s">
        <v>1020</v>
      </c>
      <c r="D20" s="294" t="s">
        <v>319</v>
      </c>
      <c r="E20" s="294">
        <v>1</v>
      </c>
      <c r="F20" s="250">
        <f ca="1">VLOOKUP($D20,Data!$C:$I,7,FALSE)</f>
        <v>0</v>
      </c>
      <c r="G20" s="296" t="str">
        <f t="shared" si="0"/>
        <v>ID.AM-61</v>
      </c>
      <c r="H20" s="296" t="str">
        <f t="shared" ca="1" si="1"/>
        <v>ID.AM-610</v>
      </c>
      <c r="J20" s="247"/>
      <c r="K20" s="271"/>
      <c r="L20" s="268" t="s">
        <v>1063</v>
      </c>
      <c r="M20" s="269">
        <f t="shared" ca="1" si="2"/>
        <v>0</v>
      </c>
      <c r="N20" s="270">
        <f t="shared" ca="1" si="3"/>
        <v>0</v>
      </c>
      <c r="O20" s="270">
        <f t="shared" si="4"/>
        <v>4</v>
      </c>
      <c r="P20" s="269">
        <f t="shared" si="5"/>
        <v>0</v>
      </c>
      <c r="Q20" s="270">
        <f t="shared" ca="1" si="6"/>
        <v>0</v>
      </c>
      <c r="R20" s="270">
        <f t="shared" si="7"/>
        <v>0</v>
      </c>
      <c r="S20" s="269">
        <f t="shared" ca="1" si="8"/>
        <v>0</v>
      </c>
      <c r="T20" s="270">
        <f t="shared" ca="1" si="9"/>
        <v>0</v>
      </c>
      <c r="U20" s="270">
        <f t="shared" si="10"/>
        <v>4</v>
      </c>
      <c r="V20" s="269">
        <f t="shared" si="11"/>
        <v>0</v>
      </c>
      <c r="W20" s="270">
        <f t="shared" ca="1" si="12"/>
        <v>0</v>
      </c>
      <c r="X20" s="270">
        <f t="shared" si="13"/>
        <v>0</v>
      </c>
      <c r="Y20" s="247"/>
      <c r="Z20" s="127"/>
      <c r="AA20" s="127"/>
      <c r="AB20" s="127">
        <f>Parameters!$B$4</f>
        <v>0.3</v>
      </c>
      <c r="AC20" s="127">
        <f>Parameters!$B$5-Parameters!$B$4</f>
        <v>0.3</v>
      </c>
      <c r="AD20" s="127">
        <f>Parameters!$B$6-Parameters!$B$5</f>
        <v>0.30000000000000004</v>
      </c>
      <c r="AE20" s="127">
        <f>1-Parameters!$B$6</f>
        <v>9.9999999999999978E-2</v>
      </c>
      <c r="AG20" s="127"/>
    </row>
    <row r="21" spans="1:33" ht="14" x14ac:dyDescent="0.3">
      <c r="A21" s="293">
        <v>21</v>
      </c>
      <c r="B21" s="293" t="s">
        <v>1019</v>
      </c>
      <c r="C21" s="294" t="s">
        <v>1021</v>
      </c>
      <c r="D21" s="294" t="s">
        <v>320</v>
      </c>
      <c r="E21" s="294">
        <v>1</v>
      </c>
      <c r="F21" s="250">
        <f ca="1">VLOOKUP($D21,Data!$C:$I,7,FALSE)</f>
        <v>0</v>
      </c>
      <c r="G21" s="296" t="str">
        <f t="shared" si="0"/>
        <v>ID.AM-61</v>
      </c>
      <c r="H21" s="296" t="str">
        <f t="shared" ca="1" si="1"/>
        <v>ID.AM-610</v>
      </c>
      <c r="J21" s="247"/>
      <c r="K21" s="271"/>
      <c r="L21" s="268" t="s">
        <v>1065</v>
      </c>
      <c r="M21" s="269">
        <f t="shared" ca="1" si="2"/>
        <v>0</v>
      </c>
      <c r="N21" s="270">
        <f t="shared" ca="1" si="3"/>
        <v>0</v>
      </c>
      <c r="O21" s="270">
        <f t="shared" si="4"/>
        <v>5</v>
      </c>
      <c r="P21" s="269">
        <f t="shared" si="5"/>
        <v>0</v>
      </c>
      <c r="Q21" s="270">
        <f t="shared" ca="1" si="6"/>
        <v>0</v>
      </c>
      <c r="R21" s="270">
        <f t="shared" si="7"/>
        <v>0</v>
      </c>
      <c r="S21" s="269">
        <f t="shared" ca="1" si="8"/>
        <v>0</v>
      </c>
      <c r="T21" s="270">
        <f t="shared" ca="1" si="9"/>
        <v>0</v>
      </c>
      <c r="U21" s="270">
        <f t="shared" si="10"/>
        <v>2</v>
      </c>
      <c r="V21" s="269">
        <f t="shared" ca="1" si="11"/>
        <v>0</v>
      </c>
      <c r="W21" s="270">
        <f t="shared" ca="1" si="12"/>
        <v>0</v>
      </c>
      <c r="X21" s="270">
        <f t="shared" si="13"/>
        <v>3</v>
      </c>
      <c r="Y21" s="247"/>
      <c r="Z21" s="127"/>
      <c r="AA21" s="127"/>
      <c r="AB21" s="127"/>
      <c r="AC21" s="127"/>
      <c r="AD21" s="127"/>
      <c r="AE21" s="127"/>
      <c r="AF21" s="127"/>
      <c r="AG21" s="127"/>
    </row>
    <row r="22" spans="1:33" ht="14" x14ac:dyDescent="0.3">
      <c r="A22" s="293">
        <v>22</v>
      </c>
      <c r="B22" s="293" t="s">
        <v>1019</v>
      </c>
      <c r="C22" s="294" t="s">
        <v>1022</v>
      </c>
      <c r="D22" s="294" t="s">
        <v>321</v>
      </c>
      <c r="E22" s="294">
        <v>2</v>
      </c>
      <c r="F22" s="250">
        <f ca="1">VLOOKUP($D22,Data!$C:$I,7,FALSE)</f>
        <v>0</v>
      </c>
      <c r="G22" s="296" t="str">
        <f t="shared" si="0"/>
        <v>ID.AM-62</v>
      </c>
      <c r="H22" s="296" t="str">
        <f t="shared" ca="1" si="1"/>
        <v>ID.AM-620</v>
      </c>
      <c r="J22" s="247"/>
      <c r="K22" s="267"/>
      <c r="L22" s="268" t="s">
        <v>1066</v>
      </c>
      <c r="M22" s="269">
        <f t="shared" ca="1" si="2"/>
        <v>0</v>
      </c>
      <c r="N22" s="270">
        <f t="shared" ca="1" si="3"/>
        <v>0</v>
      </c>
      <c r="O22" s="270">
        <f t="shared" si="4"/>
        <v>6</v>
      </c>
      <c r="P22" s="269">
        <f t="shared" si="5"/>
        <v>0</v>
      </c>
      <c r="Q22" s="270">
        <f t="shared" ca="1" si="6"/>
        <v>0</v>
      </c>
      <c r="R22" s="270">
        <f t="shared" si="7"/>
        <v>0</v>
      </c>
      <c r="S22" s="269">
        <f t="shared" ca="1" si="8"/>
        <v>0</v>
      </c>
      <c r="T22" s="270">
        <f t="shared" ca="1" si="9"/>
        <v>0</v>
      </c>
      <c r="U22" s="270">
        <f t="shared" si="10"/>
        <v>4</v>
      </c>
      <c r="V22" s="269">
        <f t="shared" ca="1" si="11"/>
        <v>0</v>
      </c>
      <c r="W22" s="270">
        <f t="shared" ca="1" si="12"/>
        <v>0</v>
      </c>
      <c r="X22" s="270">
        <f t="shared" si="13"/>
        <v>2</v>
      </c>
      <c r="Y22" s="247"/>
      <c r="Z22" s="127"/>
      <c r="AA22" s="127"/>
      <c r="AB22" s="126"/>
      <c r="AC22" s="127"/>
      <c r="AD22" s="127"/>
      <c r="AE22" s="127"/>
      <c r="AF22" s="127"/>
      <c r="AG22" s="126"/>
    </row>
    <row r="23" spans="1:33" ht="14" x14ac:dyDescent="0.3">
      <c r="A23" s="293">
        <v>23</v>
      </c>
      <c r="B23" s="293" t="s">
        <v>1023</v>
      </c>
      <c r="C23" s="294" t="s">
        <v>1024</v>
      </c>
      <c r="D23" s="294" t="s">
        <v>291</v>
      </c>
      <c r="E23" s="294">
        <v>1</v>
      </c>
      <c r="F23" s="250">
        <f ca="1">VLOOKUP($D23,Data!$C:$I,7,FALSE)</f>
        <v>0</v>
      </c>
      <c r="G23" s="296" t="str">
        <f t="shared" si="0"/>
        <v>ID.BE-11</v>
      </c>
      <c r="H23" s="296" t="str">
        <f t="shared" ca="1" si="1"/>
        <v>ID.BE-110</v>
      </c>
      <c r="J23" s="247"/>
      <c r="K23" s="267" t="s">
        <v>1255</v>
      </c>
      <c r="L23" s="268" t="s">
        <v>1068</v>
      </c>
      <c r="M23" s="269">
        <f t="shared" ca="1" si="2"/>
        <v>0</v>
      </c>
      <c r="N23" s="270">
        <f t="shared" ca="1" si="3"/>
        <v>0</v>
      </c>
      <c r="O23" s="270">
        <f t="shared" si="4"/>
        <v>19</v>
      </c>
      <c r="P23" s="269">
        <f t="shared" ca="1" si="5"/>
        <v>0</v>
      </c>
      <c r="Q23" s="270">
        <f t="shared" ca="1" si="6"/>
        <v>0</v>
      </c>
      <c r="R23" s="270">
        <f t="shared" si="7"/>
        <v>3</v>
      </c>
      <c r="S23" s="269">
        <f t="shared" ca="1" si="8"/>
        <v>0</v>
      </c>
      <c r="T23" s="270">
        <f t="shared" ca="1" si="9"/>
        <v>0</v>
      </c>
      <c r="U23" s="270">
        <f t="shared" si="10"/>
        <v>9</v>
      </c>
      <c r="V23" s="269">
        <f t="shared" ca="1" si="11"/>
        <v>0</v>
      </c>
      <c r="W23" s="270">
        <f t="shared" ca="1" si="12"/>
        <v>0</v>
      </c>
      <c r="X23" s="270">
        <f t="shared" si="13"/>
        <v>7</v>
      </c>
      <c r="Y23" s="247"/>
      <c r="Z23" s="127"/>
      <c r="AA23" s="127"/>
      <c r="AB23" s="127"/>
      <c r="AC23" s="127"/>
      <c r="AD23" s="127"/>
      <c r="AE23" s="127"/>
      <c r="AF23" s="127"/>
      <c r="AG23" s="127"/>
    </row>
    <row r="24" spans="1:33" ht="14" x14ac:dyDescent="0.3">
      <c r="A24" s="293">
        <v>24</v>
      </c>
      <c r="B24" s="293" t="s">
        <v>1023</v>
      </c>
      <c r="C24" s="294" t="s">
        <v>1025</v>
      </c>
      <c r="D24" s="294" t="s">
        <v>293</v>
      </c>
      <c r="E24" s="294">
        <v>2</v>
      </c>
      <c r="F24" s="250">
        <f ca="1">VLOOKUP($D24,Data!$C:$I,7,FALSE)</f>
        <v>0</v>
      </c>
      <c r="G24" s="296" t="str">
        <f t="shared" si="0"/>
        <v>ID.BE-12</v>
      </c>
      <c r="H24" s="296" t="str">
        <f t="shared" ca="1" si="1"/>
        <v>ID.BE-120</v>
      </c>
      <c r="J24" s="247"/>
      <c r="K24" s="271"/>
      <c r="L24" s="268" t="s">
        <v>1077</v>
      </c>
      <c r="M24" s="269">
        <f t="shared" ca="1" si="2"/>
        <v>0</v>
      </c>
      <c r="N24" s="270">
        <f t="shared" ca="1" si="3"/>
        <v>0</v>
      </c>
      <c r="O24" s="270">
        <f t="shared" si="4"/>
        <v>2</v>
      </c>
      <c r="P24" s="269">
        <f t="shared" si="5"/>
        <v>0</v>
      </c>
      <c r="Q24" s="270">
        <f t="shared" ca="1" si="6"/>
        <v>0</v>
      </c>
      <c r="R24" s="270">
        <f t="shared" si="7"/>
        <v>0</v>
      </c>
      <c r="S24" s="269">
        <f t="shared" ca="1" si="8"/>
        <v>0</v>
      </c>
      <c r="T24" s="270">
        <f t="shared" ca="1" si="9"/>
        <v>0</v>
      </c>
      <c r="U24" s="270">
        <f t="shared" si="10"/>
        <v>1</v>
      </c>
      <c r="V24" s="269">
        <f t="shared" ca="1" si="11"/>
        <v>0</v>
      </c>
      <c r="W24" s="270">
        <f t="shared" ca="1" si="12"/>
        <v>0</v>
      </c>
      <c r="X24" s="270">
        <f t="shared" si="13"/>
        <v>1</v>
      </c>
      <c r="Y24" s="247"/>
      <c r="Z24" s="127"/>
      <c r="AA24" s="127"/>
      <c r="AB24" s="127"/>
      <c r="AC24" s="127"/>
      <c r="AD24" s="127"/>
      <c r="AE24" s="127"/>
      <c r="AF24" s="127"/>
      <c r="AG24" s="127"/>
    </row>
    <row r="25" spans="1:33" ht="14" x14ac:dyDescent="0.3">
      <c r="A25" s="293">
        <v>25</v>
      </c>
      <c r="B25" s="293" t="s">
        <v>1023</v>
      </c>
      <c r="C25" s="294" t="s">
        <v>1026</v>
      </c>
      <c r="D25" s="294" t="s">
        <v>295</v>
      </c>
      <c r="E25" s="294">
        <v>2</v>
      </c>
      <c r="F25" s="250">
        <f ca="1">VLOOKUP($D25,Data!$C:$I,7,FALSE)</f>
        <v>0</v>
      </c>
      <c r="G25" s="296" t="str">
        <f t="shared" si="0"/>
        <v>ID.BE-12</v>
      </c>
      <c r="H25" s="296" t="str">
        <f t="shared" ca="1" si="1"/>
        <v>ID.BE-120</v>
      </c>
      <c r="J25" s="247"/>
      <c r="K25" s="267"/>
      <c r="L25" s="268" t="s">
        <v>1078</v>
      </c>
      <c r="M25" s="269">
        <f t="shared" ca="1" si="2"/>
        <v>0</v>
      </c>
      <c r="N25" s="270">
        <f t="shared" ca="1" si="3"/>
        <v>0</v>
      </c>
      <c r="O25" s="270">
        <f t="shared" si="4"/>
        <v>1</v>
      </c>
      <c r="P25" s="269">
        <f t="shared" si="5"/>
        <v>0</v>
      </c>
      <c r="Q25" s="270">
        <f t="shared" ca="1" si="6"/>
        <v>0</v>
      </c>
      <c r="R25" s="270">
        <f t="shared" si="7"/>
        <v>0</v>
      </c>
      <c r="S25" s="269">
        <f t="shared" ca="1" si="8"/>
        <v>0</v>
      </c>
      <c r="T25" s="270">
        <f t="shared" ca="1" si="9"/>
        <v>0</v>
      </c>
      <c r="U25" s="270">
        <f t="shared" si="10"/>
        <v>1</v>
      </c>
      <c r="V25" s="269">
        <f t="shared" si="11"/>
        <v>0</v>
      </c>
      <c r="W25" s="270">
        <f t="shared" ca="1" si="12"/>
        <v>0</v>
      </c>
      <c r="X25" s="270">
        <f t="shared" si="13"/>
        <v>0</v>
      </c>
      <c r="Y25" s="247"/>
      <c r="Z25" s="127"/>
      <c r="AA25" s="127"/>
      <c r="AB25" s="127"/>
      <c r="AC25" s="127"/>
      <c r="AD25" s="127"/>
      <c r="AE25" s="127"/>
      <c r="AF25" s="127"/>
      <c r="AG25" s="127"/>
    </row>
    <row r="26" spans="1:33" ht="14" x14ac:dyDescent="0.3">
      <c r="A26" s="293">
        <v>26</v>
      </c>
      <c r="B26" s="293" t="s">
        <v>1023</v>
      </c>
      <c r="C26" s="294" t="s">
        <v>1016</v>
      </c>
      <c r="D26" s="294" t="s">
        <v>296</v>
      </c>
      <c r="E26" s="294">
        <v>3</v>
      </c>
      <c r="F26" s="250">
        <f ca="1">VLOOKUP($D26,Data!$C:$I,7,FALSE)</f>
        <v>0</v>
      </c>
      <c r="G26" s="296" t="str">
        <f t="shared" si="0"/>
        <v>ID.BE-13</v>
      </c>
      <c r="H26" s="296" t="str">
        <f t="shared" ca="1" si="1"/>
        <v>ID.BE-130</v>
      </c>
      <c r="J26" s="247"/>
      <c r="K26" s="267" t="s">
        <v>1256</v>
      </c>
      <c r="L26" s="268" t="s">
        <v>987</v>
      </c>
      <c r="M26" s="269">
        <f t="shared" ca="1" si="2"/>
        <v>0</v>
      </c>
      <c r="N26" s="270">
        <f t="shared" ca="1" si="3"/>
        <v>0</v>
      </c>
      <c r="O26" s="270">
        <f t="shared" si="4"/>
        <v>4</v>
      </c>
      <c r="P26" s="269">
        <f t="shared" ca="1" si="5"/>
        <v>0</v>
      </c>
      <c r="Q26" s="270">
        <f t="shared" ca="1" si="6"/>
        <v>0</v>
      </c>
      <c r="R26" s="270">
        <f t="shared" si="7"/>
        <v>2</v>
      </c>
      <c r="S26" s="269">
        <f t="shared" ca="1" si="8"/>
        <v>0</v>
      </c>
      <c r="T26" s="270">
        <f t="shared" ca="1" si="9"/>
        <v>0</v>
      </c>
      <c r="U26" s="270">
        <f t="shared" si="10"/>
        <v>1</v>
      </c>
      <c r="V26" s="269">
        <f t="shared" ca="1" si="11"/>
        <v>0</v>
      </c>
      <c r="W26" s="270">
        <f t="shared" ca="1" si="12"/>
        <v>0</v>
      </c>
      <c r="X26" s="270">
        <f t="shared" si="13"/>
        <v>1</v>
      </c>
      <c r="Y26" s="247"/>
      <c r="Z26" s="127"/>
      <c r="AA26" s="127"/>
      <c r="AB26" s="126"/>
      <c r="AC26" s="127"/>
      <c r="AD26" s="127"/>
      <c r="AE26" s="127"/>
      <c r="AF26" s="127"/>
      <c r="AG26" s="126"/>
    </row>
    <row r="27" spans="1:33" ht="14" x14ac:dyDescent="0.3">
      <c r="A27" s="293">
        <v>27</v>
      </c>
      <c r="B27" s="293" t="s">
        <v>1023</v>
      </c>
      <c r="C27" s="294" t="s">
        <v>1017</v>
      </c>
      <c r="D27" s="294" t="s">
        <v>65</v>
      </c>
      <c r="E27" s="294">
        <v>2</v>
      </c>
      <c r="F27" s="250">
        <f ca="1">VLOOKUP($D27,Data!$C:$I,7,FALSE)</f>
        <v>0</v>
      </c>
      <c r="G27" s="296" t="str">
        <f t="shared" si="0"/>
        <v>ID.BE-12</v>
      </c>
      <c r="H27" s="296" t="str">
        <f t="shared" ca="1" si="1"/>
        <v>ID.BE-120</v>
      </c>
      <c r="J27" s="247"/>
      <c r="K27" s="271"/>
      <c r="L27" s="268" t="s">
        <v>1083</v>
      </c>
      <c r="M27" s="269">
        <f t="shared" ca="1" si="2"/>
        <v>0</v>
      </c>
      <c r="N27" s="270">
        <f t="shared" ca="1" si="3"/>
        <v>0</v>
      </c>
      <c r="O27" s="270">
        <f t="shared" si="4"/>
        <v>8</v>
      </c>
      <c r="P27" s="269">
        <f t="shared" ca="1" si="5"/>
        <v>0</v>
      </c>
      <c r="Q27" s="270">
        <f t="shared" ca="1" si="6"/>
        <v>0</v>
      </c>
      <c r="R27" s="270">
        <f t="shared" si="7"/>
        <v>2</v>
      </c>
      <c r="S27" s="269">
        <f t="shared" ca="1" si="8"/>
        <v>0</v>
      </c>
      <c r="T27" s="270">
        <f t="shared" ca="1" si="9"/>
        <v>0</v>
      </c>
      <c r="U27" s="270">
        <f t="shared" si="10"/>
        <v>4</v>
      </c>
      <c r="V27" s="269">
        <f t="shared" ca="1" si="11"/>
        <v>0</v>
      </c>
      <c r="W27" s="270">
        <f t="shared" ca="1" si="12"/>
        <v>0</v>
      </c>
      <c r="X27" s="270">
        <f t="shared" si="13"/>
        <v>2</v>
      </c>
      <c r="Y27" s="247"/>
    </row>
    <row r="28" spans="1:33" ht="14" x14ac:dyDescent="0.3">
      <c r="A28" s="293">
        <v>28</v>
      </c>
      <c r="B28" s="293" t="s">
        <v>1027</v>
      </c>
      <c r="C28" s="294" t="s">
        <v>1024</v>
      </c>
      <c r="D28" s="294" t="s">
        <v>291</v>
      </c>
      <c r="E28" s="294">
        <v>1</v>
      </c>
      <c r="F28" s="250">
        <f ca="1">VLOOKUP($D28,Data!$C:$I,7,FALSE)</f>
        <v>0</v>
      </c>
      <c r="G28" s="296" t="str">
        <f t="shared" si="0"/>
        <v>ID.BE-21</v>
      </c>
      <c r="H28" s="296" t="str">
        <f t="shared" ca="1" si="1"/>
        <v>ID.BE-210</v>
      </c>
      <c r="J28" s="247"/>
      <c r="K28" s="271"/>
      <c r="L28" s="268" t="s">
        <v>988</v>
      </c>
      <c r="M28" s="269">
        <f t="shared" ca="1" si="2"/>
        <v>0</v>
      </c>
      <c r="N28" s="270">
        <f t="shared" ca="1" si="3"/>
        <v>0</v>
      </c>
      <c r="O28" s="270">
        <f t="shared" si="4"/>
        <v>9</v>
      </c>
      <c r="P28" s="269">
        <f t="shared" ca="1" si="5"/>
        <v>0</v>
      </c>
      <c r="Q28" s="270">
        <f t="shared" ca="1" si="6"/>
        <v>0</v>
      </c>
      <c r="R28" s="270">
        <f t="shared" si="7"/>
        <v>1</v>
      </c>
      <c r="S28" s="269">
        <f t="shared" ca="1" si="8"/>
        <v>0</v>
      </c>
      <c r="T28" s="270">
        <f t="shared" ca="1" si="9"/>
        <v>0</v>
      </c>
      <c r="U28" s="270">
        <f t="shared" si="10"/>
        <v>5</v>
      </c>
      <c r="V28" s="269">
        <f t="shared" ca="1" si="11"/>
        <v>0</v>
      </c>
      <c r="W28" s="270">
        <f t="shared" ca="1" si="12"/>
        <v>0</v>
      </c>
      <c r="X28" s="270">
        <f t="shared" si="13"/>
        <v>3</v>
      </c>
      <c r="Y28" s="247"/>
    </row>
    <row r="29" spans="1:33" ht="14" x14ac:dyDescent="0.3">
      <c r="A29" s="293">
        <v>29</v>
      </c>
      <c r="B29" s="293" t="s">
        <v>1027</v>
      </c>
      <c r="C29" s="294" t="s">
        <v>1025</v>
      </c>
      <c r="D29" s="294" t="s">
        <v>293</v>
      </c>
      <c r="E29" s="294">
        <v>2</v>
      </c>
      <c r="F29" s="250">
        <f ca="1">VLOOKUP($D29,Data!$C:$I,7,FALSE)</f>
        <v>0</v>
      </c>
      <c r="G29" s="296" t="str">
        <f t="shared" si="0"/>
        <v>ID.BE-22</v>
      </c>
      <c r="H29" s="296" t="str">
        <f t="shared" ca="1" si="1"/>
        <v>ID.BE-220</v>
      </c>
      <c r="J29" s="247"/>
      <c r="K29" s="271"/>
      <c r="L29" s="268" t="s">
        <v>1003</v>
      </c>
      <c r="M29" s="269">
        <f t="shared" ca="1" si="2"/>
        <v>0</v>
      </c>
      <c r="N29" s="270">
        <f t="shared" ca="1" si="3"/>
        <v>0</v>
      </c>
      <c r="O29" s="270">
        <f t="shared" si="4"/>
        <v>3</v>
      </c>
      <c r="P29" s="269">
        <f t="shared" si="5"/>
        <v>0</v>
      </c>
      <c r="Q29" s="270">
        <f t="shared" ca="1" si="6"/>
        <v>0</v>
      </c>
      <c r="R29" s="270">
        <f t="shared" si="7"/>
        <v>0</v>
      </c>
      <c r="S29" s="269">
        <f t="shared" ca="1" si="8"/>
        <v>0</v>
      </c>
      <c r="T29" s="270">
        <f t="shared" ca="1" si="9"/>
        <v>0</v>
      </c>
      <c r="U29" s="270">
        <f t="shared" si="10"/>
        <v>1</v>
      </c>
      <c r="V29" s="269">
        <f t="shared" ca="1" si="11"/>
        <v>0</v>
      </c>
      <c r="W29" s="270">
        <f t="shared" ca="1" si="12"/>
        <v>0</v>
      </c>
      <c r="X29" s="270">
        <f t="shared" si="13"/>
        <v>2</v>
      </c>
      <c r="Y29" s="247"/>
    </row>
    <row r="30" spans="1:33" ht="14" x14ac:dyDescent="0.3">
      <c r="A30" s="293">
        <v>30</v>
      </c>
      <c r="B30" s="293" t="s">
        <v>1027</v>
      </c>
      <c r="C30" s="294" t="s">
        <v>1026</v>
      </c>
      <c r="D30" s="294" t="s">
        <v>295</v>
      </c>
      <c r="E30" s="294">
        <v>2</v>
      </c>
      <c r="F30" s="250">
        <f ca="1">VLOOKUP($D30,Data!$C:$I,7,FALSE)</f>
        <v>0</v>
      </c>
      <c r="G30" s="296" t="str">
        <f t="shared" si="0"/>
        <v>ID.BE-22</v>
      </c>
      <c r="H30" s="296" t="str">
        <f t="shared" ca="1" si="1"/>
        <v>ID.BE-220</v>
      </c>
      <c r="J30" s="247"/>
      <c r="K30" s="272"/>
      <c r="L30" s="273" t="s">
        <v>1091</v>
      </c>
      <c r="M30" s="269">
        <f ca="1">IF(O30=0,0,N30/O30)</f>
        <v>0</v>
      </c>
      <c r="N30" s="270">
        <f ca="1">SUM(Q30+T30+W30)</f>
        <v>0</v>
      </c>
      <c r="O30" s="270">
        <f t="shared" ref="O30:O66" si="14">SUM(R30+U30+X30)</f>
        <v>4</v>
      </c>
      <c r="P30" s="269">
        <f t="shared" ref="P30:P77" si="15">IF(R30=0,0,Q30/R30)</f>
        <v>0</v>
      </c>
      <c r="Q30" s="270">
        <f t="shared" ca="1" si="6"/>
        <v>0</v>
      </c>
      <c r="R30" s="270">
        <f t="shared" si="7"/>
        <v>0</v>
      </c>
      <c r="S30" s="269">
        <f t="shared" ref="S30:S77" ca="1" si="16">IF(U30=0,0,T30/U30)</f>
        <v>0</v>
      </c>
      <c r="T30" s="270">
        <f t="shared" ca="1" si="9"/>
        <v>0</v>
      </c>
      <c r="U30" s="270">
        <f t="shared" si="10"/>
        <v>2</v>
      </c>
      <c r="V30" s="269">
        <f t="shared" ref="V30:V65" ca="1" si="17">IF(X30=0,0,W30/X30)</f>
        <v>0</v>
      </c>
      <c r="W30" s="270">
        <f t="shared" ca="1" si="12"/>
        <v>0</v>
      </c>
      <c r="X30" s="270">
        <f t="shared" si="13"/>
        <v>2</v>
      </c>
      <c r="Y30" s="247"/>
    </row>
    <row r="31" spans="1:33" ht="14" x14ac:dyDescent="0.3">
      <c r="A31" s="293">
        <v>31</v>
      </c>
      <c r="B31" s="293" t="s">
        <v>1027</v>
      </c>
      <c r="C31" s="294" t="s">
        <v>1028</v>
      </c>
      <c r="D31" s="294" t="s">
        <v>385</v>
      </c>
      <c r="E31" s="294">
        <v>2</v>
      </c>
      <c r="F31" s="250">
        <f ca="1">VLOOKUP($D31,Data!$C:$I,7,FALSE)</f>
        <v>0</v>
      </c>
      <c r="G31" s="296" t="str">
        <f t="shared" si="0"/>
        <v>ID.BE-22</v>
      </c>
      <c r="H31" s="296" t="str">
        <f t="shared" ca="1" si="1"/>
        <v>ID.BE-220</v>
      </c>
      <c r="J31" s="263" t="s">
        <v>2481</v>
      </c>
      <c r="K31" s="272" t="s">
        <v>1257</v>
      </c>
      <c r="L31" s="273" t="s">
        <v>1095</v>
      </c>
      <c r="M31" s="269">
        <f t="shared" ref="M31:M66" ca="1" si="18">IF(O31=0,0,N31/O31)</f>
        <v>0</v>
      </c>
      <c r="N31" s="270">
        <f t="shared" ref="N31:N66" ca="1" si="19">SUM(Q31+T31+W31)</f>
        <v>0</v>
      </c>
      <c r="O31" s="270">
        <f t="shared" si="14"/>
        <v>8</v>
      </c>
      <c r="P31" s="269">
        <f t="shared" ca="1" si="15"/>
        <v>0</v>
      </c>
      <c r="Q31" s="270">
        <f t="shared" ca="1" si="6"/>
        <v>0</v>
      </c>
      <c r="R31" s="270">
        <f t="shared" si="7"/>
        <v>3</v>
      </c>
      <c r="S31" s="269">
        <f t="shared" ca="1" si="16"/>
        <v>0</v>
      </c>
      <c r="T31" s="270">
        <f t="shared" ca="1" si="9"/>
        <v>0</v>
      </c>
      <c r="U31" s="270">
        <f t="shared" si="10"/>
        <v>4</v>
      </c>
      <c r="V31" s="269">
        <f t="shared" ca="1" si="17"/>
        <v>0</v>
      </c>
      <c r="W31" s="270">
        <f t="shared" ca="1" si="12"/>
        <v>0</v>
      </c>
      <c r="X31" s="270">
        <f t="shared" si="13"/>
        <v>1</v>
      </c>
      <c r="Y31" s="247"/>
    </row>
    <row r="32" spans="1:33" ht="14" x14ac:dyDescent="0.3">
      <c r="A32" s="293">
        <v>32</v>
      </c>
      <c r="B32" s="293" t="s">
        <v>1027</v>
      </c>
      <c r="C32" s="294" t="s">
        <v>1016</v>
      </c>
      <c r="D32" s="294" t="s">
        <v>296</v>
      </c>
      <c r="E32" s="294">
        <v>3</v>
      </c>
      <c r="F32" s="250">
        <f ca="1">VLOOKUP($D32,Data!$C:$I,7,FALSE)</f>
        <v>0</v>
      </c>
      <c r="G32" s="296" t="str">
        <f t="shared" si="0"/>
        <v>ID.BE-23</v>
      </c>
      <c r="H32" s="296" t="str">
        <f t="shared" ca="1" si="1"/>
        <v>ID.BE-230</v>
      </c>
      <c r="J32" s="247"/>
      <c r="K32" s="272"/>
      <c r="L32" s="273" t="s">
        <v>1103</v>
      </c>
      <c r="M32" s="269">
        <f t="shared" ca="1" si="18"/>
        <v>0</v>
      </c>
      <c r="N32" s="270">
        <f t="shared" ca="1" si="19"/>
        <v>0</v>
      </c>
      <c r="O32" s="270">
        <f t="shared" si="14"/>
        <v>7</v>
      </c>
      <c r="P32" s="269">
        <f t="shared" ca="1" si="15"/>
        <v>0</v>
      </c>
      <c r="Q32" s="270">
        <f t="shared" ca="1" si="6"/>
        <v>0</v>
      </c>
      <c r="R32" s="270">
        <f t="shared" si="7"/>
        <v>3</v>
      </c>
      <c r="S32" s="269">
        <f t="shared" ca="1" si="16"/>
        <v>0</v>
      </c>
      <c r="T32" s="270">
        <f t="shared" ca="1" si="9"/>
        <v>0</v>
      </c>
      <c r="U32" s="270">
        <f t="shared" si="10"/>
        <v>3</v>
      </c>
      <c r="V32" s="269">
        <f t="shared" ca="1" si="17"/>
        <v>0</v>
      </c>
      <c r="W32" s="270">
        <f t="shared" ca="1" si="12"/>
        <v>0</v>
      </c>
      <c r="X32" s="270">
        <f t="shared" si="13"/>
        <v>1</v>
      </c>
      <c r="Y32" s="247"/>
    </row>
    <row r="33" spans="1:25" ht="14" x14ac:dyDescent="0.3">
      <c r="A33" s="293">
        <v>33</v>
      </c>
      <c r="B33" s="293" t="s">
        <v>1027</v>
      </c>
      <c r="C33" s="294" t="s">
        <v>1017</v>
      </c>
      <c r="D33" s="294" t="s">
        <v>65</v>
      </c>
      <c r="E33" s="294">
        <v>2</v>
      </c>
      <c r="F33" s="250">
        <f ca="1">VLOOKUP($D33,Data!$C:$I,7,FALSE)</f>
        <v>0</v>
      </c>
      <c r="G33" s="296" t="str">
        <f t="shared" si="0"/>
        <v>ID.BE-22</v>
      </c>
      <c r="H33" s="296" t="str">
        <f t="shared" ca="1" si="1"/>
        <v>ID.BE-220</v>
      </c>
      <c r="J33" s="247"/>
      <c r="K33" s="272"/>
      <c r="L33" s="273" t="s">
        <v>1111</v>
      </c>
      <c r="M33" s="269">
        <f t="shared" ca="1" si="18"/>
        <v>0</v>
      </c>
      <c r="N33" s="270">
        <f t="shared" ca="1" si="19"/>
        <v>0</v>
      </c>
      <c r="O33" s="270">
        <f t="shared" si="14"/>
        <v>7</v>
      </c>
      <c r="P33" s="269">
        <f t="shared" ca="1" si="15"/>
        <v>0</v>
      </c>
      <c r="Q33" s="270">
        <f t="shared" ca="1" si="6"/>
        <v>0</v>
      </c>
      <c r="R33" s="270">
        <f t="shared" si="7"/>
        <v>3</v>
      </c>
      <c r="S33" s="269">
        <f t="shared" ca="1" si="16"/>
        <v>0</v>
      </c>
      <c r="T33" s="270">
        <f t="shared" ca="1" si="9"/>
        <v>0</v>
      </c>
      <c r="U33" s="270">
        <f t="shared" si="10"/>
        <v>3</v>
      </c>
      <c r="V33" s="269">
        <f t="shared" ca="1" si="17"/>
        <v>0</v>
      </c>
      <c r="W33" s="270">
        <f t="shared" ca="1" si="12"/>
        <v>0</v>
      </c>
      <c r="X33" s="270">
        <f t="shared" si="13"/>
        <v>1</v>
      </c>
      <c r="Y33" s="247"/>
    </row>
    <row r="34" spans="1:25" ht="14" x14ac:dyDescent="0.3">
      <c r="A34" s="293">
        <v>35</v>
      </c>
      <c r="B34" s="293" t="s">
        <v>1029</v>
      </c>
      <c r="C34" s="294" t="s">
        <v>1017</v>
      </c>
      <c r="D34" s="294" t="s">
        <v>65</v>
      </c>
      <c r="E34" s="294">
        <v>2</v>
      </c>
      <c r="F34" s="250">
        <f ca="1">VLOOKUP($D34,Data!$C:$I,7,FALSE)</f>
        <v>0</v>
      </c>
      <c r="G34" s="296" t="str">
        <f t="shared" si="0"/>
        <v>ID.BE-32</v>
      </c>
      <c r="H34" s="296" t="str">
        <f t="shared" ca="1" si="1"/>
        <v>ID.BE-320</v>
      </c>
      <c r="J34" s="247"/>
      <c r="K34" s="272"/>
      <c r="L34" s="273" t="s">
        <v>1112</v>
      </c>
      <c r="M34" s="269">
        <f t="shared" ca="1" si="18"/>
        <v>0</v>
      </c>
      <c r="N34" s="270">
        <f t="shared" ca="1" si="19"/>
        <v>0</v>
      </c>
      <c r="O34" s="270">
        <f t="shared" si="14"/>
        <v>1</v>
      </c>
      <c r="P34" s="269">
        <f t="shared" si="15"/>
        <v>0</v>
      </c>
      <c r="Q34" s="270">
        <f t="shared" ref="Q34:Q65" ca="1" si="20">COUNTIF($H:$H,CONCATENATE($L34,P$1,1))</f>
        <v>0</v>
      </c>
      <c r="R34" s="270">
        <f t="shared" ref="R34:R65" si="21">COUNTIF($G:$G,CONCATENATE($L34,P$1))</f>
        <v>0</v>
      </c>
      <c r="S34" s="269">
        <f t="shared" ca="1" si="16"/>
        <v>0</v>
      </c>
      <c r="T34" s="270">
        <f t="shared" ref="T34:T65" ca="1" si="22">COUNTIF($H:$H,CONCATENATE($L34,S$1,1))</f>
        <v>0</v>
      </c>
      <c r="U34" s="270">
        <f t="shared" ref="U34:U65" si="23">COUNTIF($G:$G,CONCATENATE($L34,S$1))</f>
        <v>1</v>
      </c>
      <c r="V34" s="269">
        <f t="shared" si="17"/>
        <v>0</v>
      </c>
      <c r="W34" s="270">
        <f t="shared" ref="W34:W65" ca="1" si="24">COUNTIF($H:$H,CONCATENATE($L34,V$1,1))</f>
        <v>0</v>
      </c>
      <c r="X34" s="270">
        <f t="shared" ref="X34:X65" si="25">COUNTIF($G:$G,CONCATENATE($L34,V$1))</f>
        <v>0</v>
      </c>
      <c r="Y34" s="247"/>
    </row>
    <row r="35" spans="1:25" ht="14" x14ac:dyDescent="0.3">
      <c r="A35" s="293">
        <v>36</v>
      </c>
      <c r="B35" s="293" t="s">
        <v>984</v>
      </c>
      <c r="C35" s="294" t="s">
        <v>1006</v>
      </c>
      <c r="D35" s="294" t="s">
        <v>92</v>
      </c>
      <c r="E35" s="294">
        <v>1</v>
      </c>
      <c r="F35" s="250">
        <f ca="1">VLOOKUP($D35,Data!$C:$I,7,FALSE)</f>
        <v>0</v>
      </c>
      <c r="G35" s="296" t="str">
        <f t="shared" si="0"/>
        <v>ID.BE-41</v>
      </c>
      <c r="H35" s="296" t="str">
        <f t="shared" ca="1" si="1"/>
        <v>ID.BE-410</v>
      </c>
      <c r="J35" s="247"/>
      <c r="K35" s="272"/>
      <c r="L35" s="273" t="s">
        <v>1113</v>
      </c>
      <c r="M35" s="269">
        <f t="shared" ca="1" si="18"/>
        <v>0</v>
      </c>
      <c r="N35" s="270">
        <f t="shared" ca="1" si="19"/>
        <v>0</v>
      </c>
      <c r="O35" s="270">
        <f t="shared" si="14"/>
        <v>9</v>
      </c>
      <c r="P35" s="269">
        <f t="shared" ca="1" si="15"/>
        <v>0</v>
      </c>
      <c r="Q35" s="270">
        <f t="shared" ca="1" si="20"/>
        <v>0</v>
      </c>
      <c r="R35" s="270">
        <f t="shared" si="21"/>
        <v>2</v>
      </c>
      <c r="S35" s="269">
        <f t="shared" ca="1" si="16"/>
        <v>0</v>
      </c>
      <c r="T35" s="270">
        <f t="shared" ca="1" si="22"/>
        <v>0</v>
      </c>
      <c r="U35" s="270">
        <f t="shared" si="23"/>
        <v>6</v>
      </c>
      <c r="V35" s="269">
        <f t="shared" ca="1" si="17"/>
        <v>0</v>
      </c>
      <c r="W35" s="270">
        <f t="shared" ca="1" si="24"/>
        <v>0</v>
      </c>
      <c r="X35" s="270">
        <f t="shared" si="25"/>
        <v>1</v>
      </c>
      <c r="Y35" s="247"/>
    </row>
    <row r="36" spans="1:25" ht="14" x14ac:dyDescent="0.3">
      <c r="A36" s="293">
        <v>37</v>
      </c>
      <c r="B36" s="293" t="s">
        <v>984</v>
      </c>
      <c r="C36" s="294" t="s">
        <v>2500</v>
      </c>
      <c r="D36" s="294" t="s">
        <v>103</v>
      </c>
      <c r="E36" s="294">
        <v>1</v>
      </c>
      <c r="F36" s="250">
        <f ca="1">VLOOKUP($D36,Data!$C:$I,7,FALSE)</f>
        <v>0</v>
      </c>
      <c r="G36" s="296" t="str">
        <f t="shared" si="0"/>
        <v>ID.BE-41</v>
      </c>
      <c r="H36" s="296" t="str">
        <f t="shared" ca="1" si="1"/>
        <v>ID.BE-410</v>
      </c>
      <c r="J36" s="247"/>
      <c r="K36" s="272"/>
      <c r="L36" s="273" t="s">
        <v>1117</v>
      </c>
      <c r="M36" s="269">
        <f t="shared" ca="1" si="18"/>
        <v>0</v>
      </c>
      <c r="N36" s="270">
        <f t="shared" ca="1" si="19"/>
        <v>0</v>
      </c>
      <c r="O36" s="270">
        <f t="shared" si="14"/>
        <v>1</v>
      </c>
      <c r="P36" s="269">
        <f t="shared" si="15"/>
        <v>0</v>
      </c>
      <c r="Q36" s="270">
        <f t="shared" ca="1" si="20"/>
        <v>0</v>
      </c>
      <c r="R36" s="270">
        <f t="shared" si="21"/>
        <v>0</v>
      </c>
      <c r="S36" s="269">
        <f t="shared" ca="1" si="16"/>
        <v>0</v>
      </c>
      <c r="T36" s="270">
        <f t="shared" ca="1" si="22"/>
        <v>0</v>
      </c>
      <c r="U36" s="270">
        <f t="shared" si="23"/>
        <v>1</v>
      </c>
      <c r="V36" s="269">
        <f t="shared" si="17"/>
        <v>0</v>
      </c>
      <c r="W36" s="270">
        <f t="shared" ca="1" si="24"/>
        <v>0</v>
      </c>
      <c r="X36" s="270">
        <f t="shared" si="25"/>
        <v>0</v>
      </c>
      <c r="Y36" s="247"/>
    </row>
    <row r="37" spans="1:25" ht="14" x14ac:dyDescent="0.3">
      <c r="A37" s="293">
        <v>38</v>
      </c>
      <c r="B37" s="293" t="s">
        <v>984</v>
      </c>
      <c r="C37" s="294" t="s">
        <v>1013</v>
      </c>
      <c r="D37" s="294" t="s">
        <v>290</v>
      </c>
      <c r="E37" s="294">
        <v>1</v>
      </c>
      <c r="F37" s="250">
        <f ca="1">VLOOKUP($D37,Data!$C:$I,7,FALSE)</f>
        <v>0</v>
      </c>
      <c r="G37" s="296" t="str">
        <f t="shared" si="0"/>
        <v>ID.BE-41</v>
      </c>
      <c r="H37" s="296" t="str">
        <f t="shared" ca="1" si="1"/>
        <v>ID.BE-410</v>
      </c>
      <c r="J37" s="247"/>
      <c r="K37" s="272"/>
      <c r="L37" s="273" t="s">
        <v>1118</v>
      </c>
      <c r="M37" s="269">
        <f t="shared" ca="1" si="18"/>
        <v>0</v>
      </c>
      <c r="N37" s="270">
        <f t="shared" ca="1" si="19"/>
        <v>0</v>
      </c>
      <c r="O37" s="270">
        <f t="shared" si="14"/>
        <v>2</v>
      </c>
      <c r="P37" s="269">
        <f t="shared" ca="1" si="15"/>
        <v>0</v>
      </c>
      <c r="Q37" s="270">
        <f t="shared" ca="1" si="20"/>
        <v>0</v>
      </c>
      <c r="R37" s="270">
        <f t="shared" si="21"/>
        <v>1</v>
      </c>
      <c r="S37" s="269">
        <f t="shared" si="16"/>
        <v>0</v>
      </c>
      <c r="T37" s="270">
        <f t="shared" ca="1" si="22"/>
        <v>0</v>
      </c>
      <c r="U37" s="270">
        <f t="shared" si="23"/>
        <v>0</v>
      </c>
      <c r="V37" s="269">
        <f t="shared" ca="1" si="17"/>
        <v>0</v>
      </c>
      <c r="W37" s="270">
        <f t="shared" ca="1" si="24"/>
        <v>0</v>
      </c>
      <c r="X37" s="270">
        <f t="shared" si="25"/>
        <v>1</v>
      </c>
      <c r="Y37" s="247"/>
    </row>
    <row r="38" spans="1:25" ht="14" x14ac:dyDescent="0.3">
      <c r="A38" s="293">
        <v>39</v>
      </c>
      <c r="B38" s="293" t="s">
        <v>984</v>
      </c>
      <c r="C38" s="294" t="s">
        <v>1007</v>
      </c>
      <c r="D38" s="294" t="s">
        <v>94</v>
      </c>
      <c r="E38" s="294">
        <v>2</v>
      </c>
      <c r="F38" s="250">
        <f ca="1">VLOOKUP($D38,Data!$C:$I,7,FALSE)</f>
        <v>0</v>
      </c>
      <c r="G38" s="296" t="str">
        <f t="shared" si="0"/>
        <v>ID.BE-42</v>
      </c>
      <c r="H38" s="296" t="str">
        <f t="shared" ca="1" si="1"/>
        <v>ID.BE-420</v>
      </c>
      <c r="J38" s="247"/>
      <c r="K38" s="272" t="s">
        <v>1258</v>
      </c>
      <c r="L38" s="273" t="s">
        <v>989</v>
      </c>
      <c r="M38" s="269">
        <f t="shared" ca="1" si="18"/>
        <v>0</v>
      </c>
      <c r="N38" s="270">
        <f t="shared" ca="1" si="19"/>
        <v>0</v>
      </c>
      <c r="O38" s="270">
        <f t="shared" si="14"/>
        <v>7</v>
      </c>
      <c r="P38" s="269">
        <f t="shared" ca="1" si="15"/>
        <v>0</v>
      </c>
      <c r="Q38" s="270">
        <f t="shared" ca="1" si="20"/>
        <v>0</v>
      </c>
      <c r="R38" s="270">
        <f t="shared" si="21"/>
        <v>3</v>
      </c>
      <c r="S38" s="269">
        <f t="shared" ca="1" si="16"/>
        <v>0</v>
      </c>
      <c r="T38" s="270">
        <f t="shared" ca="1" si="22"/>
        <v>0</v>
      </c>
      <c r="U38" s="270">
        <f t="shared" si="23"/>
        <v>2</v>
      </c>
      <c r="V38" s="269">
        <f t="shared" ca="1" si="17"/>
        <v>0</v>
      </c>
      <c r="W38" s="270">
        <f t="shared" ca="1" si="24"/>
        <v>0</v>
      </c>
      <c r="X38" s="270">
        <f t="shared" si="25"/>
        <v>2</v>
      </c>
      <c r="Y38" s="247"/>
    </row>
    <row r="39" spans="1:25" ht="14" x14ac:dyDescent="0.3">
      <c r="A39" s="293">
        <v>40</v>
      </c>
      <c r="B39" s="293" t="s">
        <v>984</v>
      </c>
      <c r="C39" s="294" t="s">
        <v>1018</v>
      </c>
      <c r="D39" s="294" t="s">
        <v>95</v>
      </c>
      <c r="E39" s="294">
        <v>2</v>
      </c>
      <c r="F39" s="250">
        <f ca="1">VLOOKUP($D39,Data!$C:$I,7,FALSE)</f>
        <v>0</v>
      </c>
      <c r="G39" s="296" t="str">
        <f t="shared" si="0"/>
        <v>ID.BE-42</v>
      </c>
      <c r="H39" s="296" t="str">
        <f t="shared" ca="1" si="1"/>
        <v>ID.BE-420</v>
      </c>
      <c r="J39" s="247"/>
      <c r="K39" s="272"/>
      <c r="L39" s="273" t="s">
        <v>990</v>
      </c>
      <c r="M39" s="269">
        <f t="shared" ca="1" si="18"/>
        <v>0</v>
      </c>
      <c r="N39" s="270">
        <f t="shared" ca="1" si="19"/>
        <v>0</v>
      </c>
      <c r="O39" s="270">
        <f t="shared" si="14"/>
        <v>6</v>
      </c>
      <c r="P39" s="269">
        <f t="shared" ca="1" si="15"/>
        <v>0</v>
      </c>
      <c r="Q39" s="270">
        <f t="shared" ca="1" si="20"/>
        <v>0</v>
      </c>
      <c r="R39" s="270">
        <f t="shared" si="21"/>
        <v>2</v>
      </c>
      <c r="S39" s="269">
        <f t="shared" ca="1" si="16"/>
        <v>0</v>
      </c>
      <c r="T39" s="270">
        <f t="shared" ca="1" si="22"/>
        <v>0</v>
      </c>
      <c r="U39" s="270">
        <f t="shared" si="23"/>
        <v>2</v>
      </c>
      <c r="V39" s="269">
        <f t="shared" ca="1" si="17"/>
        <v>0</v>
      </c>
      <c r="W39" s="270">
        <f t="shared" ca="1" si="24"/>
        <v>0</v>
      </c>
      <c r="X39" s="270">
        <f t="shared" si="25"/>
        <v>2</v>
      </c>
      <c r="Y39" s="247"/>
    </row>
    <row r="40" spans="1:25" ht="14" x14ac:dyDescent="0.3">
      <c r="A40" s="293">
        <v>41</v>
      </c>
      <c r="B40" s="293" t="s">
        <v>984</v>
      </c>
      <c r="C40" s="294" t="s">
        <v>1014</v>
      </c>
      <c r="D40" s="294" t="s">
        <v>292</v>
      </c>
      <c r="E40" s="294">
        <v>2</v>
      </c>
      <c r="F40" s="250">
        <f ca="1">VLOOKUP($D40,Data!$C:$I,7,FALSE)</f>
        <v>0</v>
      </c>
      <c r="G40" s="296" t="str">
        <f t="shared" si="0"/>
        <v>ID.BE-42</v>
      </c>
      <c r="H40" s="296" t="str">
        <f t="shared" ca="1" si="1"/>
        <v>ID.BE-420</v>
      </c>
      <c r="J40" s="247"/>
      <c r="K40" s="272"/>
      <c r="L40" s="273" t="s">
        <v>991</v>
      </c>
      <c r="M40" s="269">
        <f t="shared" ca="1" si="18"/>
        <v>0</v>
      </c>
      <c r="N40" s="270">
        <f t="shared" ca="1" si="19"/>
        <v>0</v>
      </c>
      <c r="O40" s="270">
        <f t="shared" si="14"/>
        <v>6</v>
      </c>
      <c r="P40" s="269">
        <f t="shared" ca="1" si="15"/>
        <v>0</v>
      </c>
      <c r="Q40" s="270">
        <f t="shared" ca="1" si="20"/>
        <v>0</v>
      </c>
      <c r="R40" s="270">
        <f t="shared" si="21"/>
        <v>2</v>
      </c>
      <c r="S40" s="269">
        <f t="shared" ca="1" si="16"/>
        <v>0</v>
      </c>
      <c r="T40" s="270">
        <f t="shared" ca="1" si="22"/>
        <v>0</v>
      </c>
      <c r="U40" s="270">
        <f t="shared" si="23"/>
        <v>2</v>
      </c>
      <c r="V40" s="269">
        <f t="shared" ca="1" si="17"/>
        <v>0</v>
      </c>
      <c r="W40" s="270">
        <f t="shared" ca="1" si="24"/>
        <v>0</v>
      </c>
      <c r="X40" s="270">
        <f t="shared" si="25"/>
        <v>2</v>
      </c>
      <c r="Y40" s="247"/>
    </row>
    <row r="41" spans="1:25" ht="14" x14ac:dyDescent="0.3">
      <c r="A41" s="293">
        <v>42</v>
      </c>
      <c r="B41" s="293" t="s">
        <v>984</v>
      </c>
      <c r="C41" s="294" t="s">
        <v>1015</v>
      </c>
      <c r="D41" s="294" t="s">
        <v>294</v>
      </c>
      <c r="E41" s="294">
        <v>2</v>
      </c>
      <c r="F41" s="250">
        <f ca="1">VLOOKUP($D41,Data!$C:$I,7,FALSE)</f>
        <v>0</v>
      </c>
      <c r="G41" s="296" t="str">
        <f t="shared" si="0"/>
        <v>ID.BE-42</v>
      </c>
      <c r="H41" s="296" t="str">
        <f t="shared" ca="1" si="1"/>
        <v>ID.BE-420</v>
      </c>
      <c r="J41" s="247"/>
      <c r="K41" s="272"/>
      <c r="L41" s="273" t="s">
        <v>992</v>
      </c>
      <c r="M41" s="269">
        <f t="shared" ca="1" si="18"/>
        <v>0</v>
      </c>
      <c r="N41" s="270">
        <f t="shared" ca="1" si="19"/>
        <v>0</v>
      </c>
      <c r="O41" s="270">
        <f t="shared" si="14"/>
        <v>6</v>
      </c>
      <c r="P41" s="269">
        <f t="shared" ca="1" si="15"/>
        <v>0</v>
      </c>
      <c r="Q41" s="270">
        <f t="shared" ca="1" si="20"/>
        <v>0</v>
      </c>
      <c r="R41" s="270">
        <f t="shared" si="21"/>
        <v>2</v>
      </c>
      <c r="S41" s="269">
        <f t="shared" ca="1" si="16"/>
        <v>0</v>
      </c>
      <c r="T41" s="270">
        <f t="shared" ca="1" si="22"/>
        <v>0</v>
      </c>
      <c r="U41" s="270">
        <f t="shared" si="23"/>
        <v>2</v>
      </c>
      <c r="V41" s="269">
        <f t="shared" ca="1" si="17"/>
        <v>0</v>
      </c>
      <c r="W41" s="270">
        <f t="shared" ca="1" si="24"/>
        <v>0</v>
      </c>
      <c r="X41" s="270">
        <f t="shared" si="25"/>
        <v>2</v>
      </c>
      <c r="Y41" s="247"/>
    </row>
    <row r="42" spans="1:25" ht="14" x14ac:dyDescent="0.3">
      <c r="A42" s="293">
        <v>43</v>
      </c>
      <c r="B42" s="293" t="s">
        <v>984</v>
      </c>
      <c r="C42" s="294" t="s">
        <v>1008</v>
      </c>
      <c r="D42" s="294" t="s">
        <v>97</v>
      </c>
      <c r="E42" s="294">
        <v>3</v>
      </c>
      <c r="F42" s="250">
        <f ca="1">VLOOKUP($D42,Data!$C:$I,7,FALSE)</f>
        <v>0</v>
      </c>
      <c r="G42" s="296" t="str">
        <f t="shared" si="0"/>
        <v>ID.BE-43</v>
      </c>
      <c r="H42" s="296" t="str">
        <f t="shared" ca="1" si="1"/>
        <v>ID.BE-430</v>
      </c>
      <c r="J42" s="247"/>
      <c r="K42" s="272"/>
      <c r="L42" s="273" t="s">
        <v>993</v>
      </c>
      <c r="M42" s="269">
        <f t="shared" ca="1" si="18"/>
        <v>0</v>
      </c>
      <c r="N42" s="270">
        <f t="shared" ca="1" si="19"/>
        <v>0</v>
      </c>
      <c r="O42" s="270">
        <f t="shared" si="14"/>
        <v>6</v>
      </c>
      <c r="P42" s="269">
        <f t="shared" ca="1" si="15"/>
        <v>0</v>
      </c>
      <c r="Q42" s="270">
        <f t="shared" ca="1" si="20"/>
        <v>0</v>
      </c>
      <c r="R42" s="270">
        <f t="shared" si="21"/>
        <v>2</v>
      </c>
      <c r="S42" s="269">
        <f t="shared" ca="1" si="16"/>
        <v>0</v>
      </c>
      <c r="T42" s="270">
        <f t="shared" ca="1" si="22"/>
        <v>0</v>
      </c>
      <c r="U42" s="270">
        <f t="shared" si="23"/>
        <v>2</v>
      </c>
      <c r="V42" s="269">
        <f t="shared" ca="1" si="17"/>
        <v>0</v>
      </c>
      <c r="W42" s="270">
        <f t="shared" ca="1" si="24"/>
        <v>0</v>
      </c>
      <c r="X42" s="270">
        <f t="shared" si="25"/>
        <v>2</v>
      </c>
      <c r="Y42" s="247"/>
    </row>
    <row r="43" spans="1:25" ht="14" x14ac:dyDescent="0.3">
      <c r="A43" s="293">
        <v>44</v>
      </c>
      <c r="B43" s="293" t="s">
        <v>984</v>
      </c>
      <c r="C43" s="294" t="s">
        <v>1009</v>
      </c>
      <c r="D43" s="294" t="s">
        <v>99</v>
      </c>
      <c r="E43" s="294">
        <v>3</v>
      </c>
      <c r="F43" s="250">
        <f ca="1">VLOOKUP($D43,Data!$C:$I,7,FALSE)</f>
        <v>0</v>
      </c>
      <c r="G43" s="296" t="str">
        <f t="shared" si="0"/>
        <v>ID.BE-43</v>
      </c>
      <c r="H43" s="296" t="str">
        <f t="shared" ca="1" si="1"/>
        <v>ID.BE-430</v>
      </c>
      <c r="J43" s="247"/>
      <c r="K43" s="272" t="s">
        <v>1259</v>
      </c>
      <c r="L43" s="273" t="s">
        <v>1127</v>
      </c>
      <c r="M43" s="269">
        <f t="shared" ca="1" si="18"/>
        <v>0</v>
      </c>
      <c r="N43" s="270">
        <f t="shared" ca="1" si="19"/>
        <v>0</v>
      </c>
      <c r="O43" s="270">
        <f t="shared" si="14"/>
        <v>6</v>
      </c>
      <c r="P43" s="269">
        <f t="shared" ca="1" si="15"/>
        <v>0</v>
      </c>
      <c r="Q43" s="270">
        <f t="shared" ca="1" si="20"/>
        <v>0</v>
      </c>
      <c r="R43" s="270">
        <f t="shared" si="21"/>
        <v>3</v>
      </c>
      <c r="S43" s="269">
        <f t="shared" ca="1" si="16"/>
        <v>0</v>
      </c>
      <c r="T43" s="270">
        <f t="shared" ca="1" si="22"/>
        <v>0</v>
      </c>
      <c r="U43" s="270">
        <f t="shared" si="23"/>
        <v>2</v>
      </c>
      <c r="V43" s="269">
        <f t="shared" ca="1" si="17"/>
        <v>0</v>
      </c>
      <c r="W43" s="270">
        <f t="shared" ca="1" si="24"/>
        <v>0</v>
      </c>
      <c r="X43" s="270">
        <f t="shared" si="25"/>
        <v>1</v>
      </c>
      <c r="Y43" s="247"/>
    </row>
    <row r="44" spans="1:25" ht="14" x14ac:dyDescent="0.3">
      <c r="A44" s="293">
        <v>45</v>
      </c>
      <c r="B44" s="293" t="s">
        <v>984</v>
      </c>
      <c r="C44" s="294" t="s">
        <v>1017</v>
      </c>
      <c r="D44" s="294" t="s">
        <v>65</v>
      </c>
      <c r="E44" s="294">
        <v>2</v>
      </c>
      <c r="F44" s="250">
        <f ca="1">VLOOKUP($D44,Data!$C:$I,7,FALSE)</f>
        <v>0</v>
      </c>
      <c r="G44" s="296" t="str">
        <f t="shared" si="0"/>
        <v>ID.BE-42</v>
      </c>
      <c r="H44" s="296" t="str">
        <f t="shared" ca="1" si="1"/>
        <v>ID.BE-420</v>
      </c>
      <c r="J44" s="247"/>
      <c r="K44" s="272"/>
      <c r="L44" s="273" t="s">
        <v>1130</v>
      </c>
      <c r="M44" s="269">
        <f t="shared" ca="1" si="18"/>
        <v>0</v>
      </c>
      <c r="N44" s="270">
        <f t="shared" ca="1" si="19"/>
        <v>0</v>
      </c>
      <c r="O44" s="270">
        <f t="shared" si="14"/>
        <v>6</v>
      </c>
      <c r="P44" s="269">
        <f t="shared" ca="1" si="15"/>
        <v>0</v>
      </c>
      <c r="Q44" s="270">
        <f t="shared" ca="1" si="20"/>
        <v>0</v>
      </c>
      <c r="R44" s="270">
        <f t="shared" si="21"/>
        <v>3</v>
      </c>
      <c r="S44" s="269">
        <f t="shared" ca="1" si="16"/>
        <v>0</v>
      </c>
      <c r="T44" s="270">
        <f t="shared" ca="1" si="22"/>
        <v>0</v>
      </c>
      <c r="U44" s="270">
        <f t="shared" si="23"/>
        <v>2</v>
      </c>
      <c r="V44" s="269">
        <f t="shared" ca="1" si="17"/>
        <v>0</v>
      </c>
      <c r="W44" s="270">
        <f t="shared" ca="1" si="24"/>
        <v>0</v>
      </c>
      <c r="X44" s="270">
        <f t="shared" si="25"/>
        <v>1</v>
      </c>
      <c r="Y44" s="247"/>
    </row>
    <row r="45" spans="1:25" ht="14" x14ac:dyDescent="0.3">
      <c r="A45" s="293">
        <v>46</v>
      </c>
      <c r="B45" s="293" t="s">
        <v>984</v>
      </c>
      <c r="C45" s="294" t="s">
        <v>1016</v>
      </c>
      <c r="D45" s="294" t="s">
        <v>296</v>
      </c>
      <c r="E45" s="294">
        <v>3</v>
      </c>
      <c r="F45" s="250">
        <f ca="1">VLOOKUP($D45,Data!$C:$I,7,FALSE)</f>
        <v>0</v>
      </c>
      <c r="G45" s="296" t="str">
        <f t="shared" si="0"/>
        <v>ID.BE-43</v>
      </c>
      <c r="H45" s="296" t="str">
        <f t="shared" ca="1" si="1"/>
        <v>ID.BE-430</v>
      </c>
      <c r="J45" s="247"/>
      <c r="K45" s="272"/>
      <c r="L45" s="273" t="s">
        <v>994</v>
      </c>
      <c r="M45" s="269">
        <f t="shared" ca="1" si="18"/>
        <v>0</v>
      </c>
      <c r="N45" s="270">
        <f t="shared" ca="1" si="19"/>
        <v>0</v>
      </c>
      <c r="O45" s="270">
        <f t="shared" si="14"/>
        <v>8</v>
      </c>
      <c r="P45" s="269">
        <f t="shared" ca="1" si="15"/>
        <v>0</v>
      </c>
      <c r="Q45" s="270">
        <f t="shared" ca="1" si="20"/>
        <v>0</v>
      </c>
      <c r="R45" s="270">
        <f t="shared" si="21"/>
        <v>2</v>
      </c>
      <c r="S45" s="269">
        <f t="shared" ca="1" si="16"/>
        <v>0</v>
      </c>
      <c r="T45" s="270">
        <f t="shared" ca="1" si="22"/>
        <v>0</v>
      </c>
      <c r="U45" s="270">
        <f t="shared" si="23"/>
        <v>4</v>
      </c>
      <c r="V45" s="269">
        <f t="shared" ca="1" si="17"/>
        <v>0</v>
      </c>
      <c r="W45" s="270">
        <f t="shared" ca="1" si="24"/>
        <v>0</v>
      </c>
      <c r="X45" s="270">
        <f t="shared" si="25"/>
        <v>2</v>
      </c>
      <c r="Y45" s="247"/>
    </row>
    <row r="46" spans="1:25" ht="14" x14ac:dyDescent="0.3">
      <c r="A46" s="293">
        <v>47</v>
      </c>
      <c r="B46" s="293" t="s">
        <v>1030</v>
      </c>
      <c r="C46" s="294" t="s">
        <v>1031</v>
      </c>
      <c r="D46" s="294" t="s">
        <v>406</v>
      </c>
      <c r="E46" s="294">
        <v>2</v>
      </c>
      <c r="F46" s="250">
        <f ca="1">VLOOKUP($D46,Data!$C:$I,7,FALSE)</f>
        <v>0</v>
      </c>
      <c r="G46" s="296" t="str">
        <f t="shared" si="0"/>
        <v>ID.BE-52</v>
      </c>
      <c r="H46" s="296" t="str">
        <f t="shared" ca="1" si="1"/>
        <v>ID.BE-520</v>
      </c>
      <c r="K46" s="249"/>
      <c r="L46" s="36" t="s">
        <v>1139</v>
      </c>
      <c r="M46" s="37">
        <f t="shared" ca="1" si="18"/>
        <v>0</v>
      </c>
      <c r="N46" s="39">
        <f t="shared" ca="1" si="19"/>
        <v>0</v>
      </c>
      <c r="O46" s="39">
        <f t="shared" si="14"/>
        <v>5</v>
      </c>
      <c r="P46" s="37">
        <f t="shared" ca="1" si="15"/>
        <v>0</v>
      </c>
      <c r="Q46" s="39">
        <f t="shared" ca="1" si="20"/>
        <v>0</v>
      </c>
      <c r="R46" s="39">
        <f t="shared" si="21"/>
        <v>2</v>
      </c>
      <c r="S46" s="37">
        <f t="shared" ca="1" si="16"/>
        <v>0</v>
      </c>
      <c r="T46" s="39">
        <f t="shared" ca="1" si="22"/>
        <v>0</v>
      </c>
      <c r="U46" s="39">
        <f t="shared" si="23"/>
        <v>2</v>
      </c>
      <c r="V46" s="37">
        <f t="shared" ca="1" si="17"/>
        <v>0</v>
      </c>
      <c r="W46" s="39">
        <f t="shared" ca="1" si="24"/>
        <v>0</v>
      </c>
      <c r="X46" s="39">
        <f t="shared" si="25"/>
        <v>1</v>
      </c>
    </row>
    <row r="47" spans="1:25" ht="14" x14ac:dyDescent="0.3">
      <c r="A47" s="293">
        <v>48</v>
      </c>
      <c r="B47" s="293" t="s">
        <v>1030</v>
      </c>
      <c r="C47" s="294" t="s">
        <v>1032</v>
      </c>
      <c r="D47" s="294" t="s">
        <v>406</v>
      </c>
      <c r="E47" s="294">
        <v>2</v>
      </c>
      <c r="F47" s="250">
        <f ca="1">VLOOKUP($D47,Data!$C:$I,7,FALSE)</f>
        <v>0</v>
      </c>
      <c r="G47" s="296" t="str">
        <f t="shared" si="0"/>
        <v>ID.BE-52</v>
      </c>
      <c r="H47" s="296" t="str">
        <f t="shared" ca="1" si="1"/>
        <v>ID.BE-520</v>
      </c>
      <c r="K47" s="249"/>
      <c r="L47" s="36" t="s">
        <v>1140</v>
      </c>
      <c r="M47" s="37">
        <f t="shared" ca="1" si="18"/>
        <v>0</v>
      </c>
      <c r="N47" s="39">
        <f t="shared" ca="1" si="19"/>
        <v>0</v>
      </c>
      <c r="O47" s="39">
        <f t="shared" si="14"/>
        <v>10</v>
      </c>
      <c r="P47" s="37">
        <f t="shared" ca="1" si="15"/>
        <v>0</v>
      </c>
      <c r="Q47" s="39">
        <f t="shared" ca="1" si="20"/>
        <v>0</v>
      </c>
      <c r="R47" s="39">
        <f t="shared" si="21"/>
        <v>4</v>
      </c>
      <c r="S47" s="37">
        <f t="shared" ca="1" si="16"/>
        <v>0</v>
      </c>
      <c r="T47" s="39">
        <f t="shared" ca="1" si="22"/>
        <v>0</v>
      </c>
      <c r="U47" s="39">
        <f t="shared" si="23"/>
        <v>3</v>
      </c>
      <c r="V47" s="37">
        <f t="shared" ca="1" si="17"/>
        <v>0</v>
      </c>
      <c r="W47" s="39">
        <f t="shared" ca="1" si="24"/>
        <v>0</v>
      </c>
      <c r="X47" s="39">
        <f t="shared" si="25"/>
        <v>3</v>
      </c>
    </row>
    <row r="48" spans="1:25" ht="14" x14ac:dyDescent="0.3">
      <c r="A48" s="293">
        <v>49</v>
      </c>
      <c r="B48" s="293" t="s">
        <v>1030</v>
      </c>
      <c r="C48" s="294" t="s">
        <v>1033</v>
      </c>
      <c r="D48" s="294" t="s">
        <v>403</v>
      </c>
      <c r="E48" s="294">
        <v>1</v>
      </c>
      <c r="F48" s="250">
        <f ca="1">VLOOKUP($D48,Data!$C:$I,7,FALSE)</f>
        <v>0</v>
      </c>
      <c r="G48" s="296" t="str">
        <f t="shared" si="0"/>
        <v>ID.BE-51</v>
      </c>
      <c r="H48" s="296" t="str">
        <f t="shared" ca="1" si="1"/>
        <v>ID.BE-510</v>
      </c>
      <c r="K48" s="249"/>
      <c r="L48" s="36" t="s">
        <v>1142</v>
      </c>
      <c r="M48" s="37">
        <f t="shared" ca="1" si="18"/>
        <v>0</v>
      </c>
      <c r="N48" s="39">
        <f t="shared" ca="1" si="19"/>
        <v>0</v>
      </c>
      <c r="O48" s="39">
        <f t="shared" si="14"/>
        <v>4</v>
      </c>
      <c r="P48" s="37">
        <f t="shared" si="15"/>
        <v>0</v>
      </c>
      <c r="Q48" s="39">
        <f t="shared" ca="1" si="20"/>
        <v>0</v>
      </c>
      <c r="R48" s="39">
        <f t="shared" si="21"/>
        <v>0</v>
      </c>
      <c r="S48" s="37">
        <f t="shared" ca="1" si="16"/>
        <v>0</v>
      </c>
      <c r="T48" s="39">
        <f t="shared" ca="1" si="22"/>
        <v>0</v>
      </c>
      <c r="U48" s="39">
        <f t="shared" si="23"/>
        <v>1</v>
      </c>
      <c r="V48" s="37">
        <f t="shared" ca="1" si="17"/>
        <v>0</v>
      </c>
      <c r="W48" s="39">
        <f t="shared" ca="1" si="24"/>
        <v>0</v>
      </c>
      <c r="X48" s="39">
        <f t="shared" si="25"/>
        <v>3</v>
      </c>
    </row>
    <row r="49" spans="1:24" ht="14" x14ac:dyDescent="0.3">
      <c r="A49" s="293">
        <v>50</v>
      </c>
      <c r="B49" s="293" t="s">
        <v>1030</v>
      </c>
      <c r="C49" s="294" t="s">
        <v>1034</v>
      </c>
      <c r="D49" s="294" t="s">
        <v>409</v>
      </c>
      <c r="E49" s="294">
        <v>2</v>
      </c>
      <c r="F49" s="250">
        <f ca="1">VLOOKUP($D49,Data!$C:$I,7,FALSE)</f>
        <v>0</v>
      </c>
      <c r="G49" s="296" t="str">
        <f t="shared" si="0"/>
        <v>ID.BE-52</v>
      </c>
      <c r="H49" s="296" t="str">
        <f t="shared" ca="1" si="1"/>
        <v>ID.BE-520</v>
      </c>
      <c r="K49" s="249"/>
      <c r="L49" s="36" t="s">
        <v>1145</v>
      </c>
      <c r="M49" s="37">
        <f t="shared" ca="1" si="18"/>
        <v>0</v>
      </c>
      <c r="N49" s="39">
        <f t="shared" ca="1" si="19"/>
        <v>0</v>
      </c>
      <c r="O49" s="39">
        <f t="shared" si="14"/>
        <v>2</v>
      </c>
      <c r="P49" s="37">
        <f t="shared" si="15"/>
        <v>0</v>
      </c>
      <c r="Q49" s="39">
        <f t="shared" ca="1" si="20"/>
        <v>0</v>
      </c>
      <c r="R49" s="39">
        <f t="shared" si="21"/>
        <v>0</v>
      </c>
      <c r="S49" s="37">
        <f t="shared" ca="1" si="16"/>
        <v>0</v>
      </c>
      <c r="T49" s="39">
        <f t="shared" ca="1" si="22"/>
        <v>0</v>
      </c>
      <c r="U49" s="39">
        <f t="shared" si="23"/>
        <v>1</v>
      </c>
      <c r="V49" s="37">
        <f t="shared" ca="1" si="17"/>
        <v>0</v>
      </c>
      <c r="W49" s="39">
        <f t="shared" ca="1" si="24"/>
        <v>0</v>
      </c>
      <c r="X49" s="39">
        <f t="shared" si="25"/>
        <v>1</v>
      </c>
    </row>
    <row r="50" spans="1:24" ht="14" x14ac:dyDescent="0.3">
      <c r="A50" s="293">
        <v>51</v>
      </c>
      <c r="B50" s="293" t="s">
        <v>1035</v>
      </c>
      <c r="C50" s="294" t="s">
        <v>1036</v>
      </c>
      <c r="D50" s="294" t="s">
        <v>396</v>
      </c>
      <c r="E50" s="294">
        <v>2</v>
      </c>
      <c r="F50" s="250">
        <f ca="1">VLOOKUP($D50,Data!$C:$I,7,FALSE)</f>
        <v>0</v>
      </c>
      <c r="G50" s="296" t="str">
        <f t="shared" si="0"/>
        <v>ID.GV-12</v>
      </c>
      <c r="H50" s="296" t="str">
        <f t="shared" ca="1" si="1"/>
        <v>ID.GV-120</v>
      </c>
      <c r="K50" s="249"/>
      <c r="L50" s="36" t="s">
        <v>1260</v>
      </c>
      <c r="M50" s="37">
        <f t="shared" si="18"/>
        <v>0</v>
      </c>
      <c r="N50" s="39">
        <f t="shared" ca="1" si="19"/>
        <v>0</v>
      </c>
      <c r="O50" s="39">
        <f t="shared" si="14"/>
        <v>0</v>
      </c>
      <c r="P50" s="37">
        <f t="shared" si="15"/>
        <v>0</v>
      </c>
      <c r="Q50" s="39">
        <f t="shared" ca="1" si="20"/>
        <v>0</v>
      </c>
      <c r="R50" s="39">
        <f t="shared" si="21"/>
        <v>0</v>
      </c>
      <c r="S50" s="37">
        <f t="shared" si="16"/>
        <v>0</v>
      </c>
      <c r="T50" s="39">
        <f t="shared" ca="1" si="22"/>
        <v>0</v>
      </c>
      <c r="U50" s="39">
        <f t="shared" si="23"/>
        <v>0</v>
      </c>
      <c r="V50" s="37">
        <f t="shared" si="17"/>
        <v>0</v>
      </c>
      <c r="W50" s="39">
        <f t="shared" ca="1" si="24"/>
        <v>0</v>
      </c>
      <c r="X50" s="39">
        <f t="shared" si="25"/>
        <v>0</v>
      </c>
    </row>
    <row r="51" spans="1:24" ht="14" x14ac:dyDescent="0.3">
      <c r="A51" s="293">
        <v>52</v>
      </c>
      <c r="B51" s="293" t="s">
        <v>1035</v>
      </c>
      <c r="C51" s="294" t="s">
        <v>1037</v>
      </c>
      <c r="D51" s="294" t="s">
        <v>423</v>
      </c>
      <c r="E51" s="294">
        <v>3</v>
      </c>
      <c r="F51" s="250">
        <f ca="1">VLOOKUP($D51,Data!$C:$I,7,FALSE)</f>
        <v>0</v>
      </c>
      <c r="G51" s="296" t="str">
        <f t="shared" si="0"/>
        <v>ID.GV-13</v>
      </c>
      <c r="H51" s="296" t="str">
        <f t="shared" ca="1" si="1"/>
        <v>ID.GV-130</v>
      </c>
      <c r="K51" s="249" t="s">
        <v>1261</v>
      </c>
      <c r="L51" s="36" t="s">
        <v>1152</v>
      </c>
      <c r="M51" s="37">
        <f t="shared" ca="1" si="18"/>
        <v>0</v>
      </c>
      <c r="N51" s="39">
        <f t="shared" ca="1" si="19"/>
        <v>0</v>
      </c>
      <c r="O51" s="39">
        <f t="shared" si="14"/>
        <v>6</v>
      </c>
      <c r="P51" s="37">
        <f t="shared" ca="1" si="15"/>
        <v>0</v>
      </c>
      <c r="Q51" s="39">
        <f t="shared" ca="1" si="20"/>
        <v>0</v>
      </c>
      <c r="R51" s="39">
        <f t="shared" si="21"/>
        <v>2</v>
      </c>
      <c r="S51" s="37">
        <f t="shared" ca="1" si="16"/>
        <v>0</v>
      </c>
      <c r="T51" s="39">
        <f t="shared" ca="1" si="22"/>
        <v>0</v>
      </c>
      <c r="U51" s="39">
        <f t="shared" si="23"/>
        <v>1</v>
      </c>
      <c r="V51" s="37">
        <f t="shared" ca="1" si="17"/>
        <v>0</v>
      </c>
      <c r="W51" s="39">
        <f t="shared" ca="1" si="24"/>
        <v>0</v>
      </c>
      <c r="X51" s="39">
        <f t="shared" si="25"/>
        <v>3</v>
      </c>
    </row>
    <row r="52" spans="1:24" ht="14" x14ac:dyDescent="0.3">
      <c r="A52" s="293">
        <v>53</v>
      </c>
      <c r="B52" s="293" t="s">
        <v>1035</v>
      </c>
      <c r="C52" s="294" t="s">
        <v>1038</v>
      </c>
      <c r="D52" s="294" t="s">
        <v>86</v>
      </c>
      <c r="E52" s="294">
        <v>3</v>
      </c>
      <c r="F52" s="250">
        <f ca="1">VLOOKUP($D52,Data!$C:$I,7,FALSE)</f>
        <v>0</v>
      </c>
      <c r="G52" s="296" t="str">
        <f t="shared" si="0"/>
        <v>ID.GV-13</v>
      </c>
      <c r="H52" s="296" t="str">
        <f t="shared" ca="1" si="1"/>
        <v>ID.GV-130</v>
      </c>
      <c r="K52" s="249"/>
      <c r="L52" s="36" t="s">
        <v>1155</v>
      </c>
      <c r="M52" s="37">
        <f t="shared" ca="1" si="18"/>
        <v>0</v>
      </c>
      <c r="N52" s="39">
        <f t="shared" ca="1" si="19"/>
        <v>0</v>
      </c>
      <c r="O52" s="39">
        <f t="shared" si="14"/>
        <v>1</v>
      </c>
      <c r="P52" s="37">
        <f t="shared" si="15"/>
        <v>0</v>
      </c>
      <c r="Q52" s="39">
        <f t="shared" ca="1" si="20"/>
        <v>0</v>
      </c>
      <c r="R52" s="39">
        <f t="shared" si="21"/>
        <v>0</v>
      </c>
      <c r="S52" s="37">
        <f t="shared" ca="1" si="16"/>
        <v>0</v>
      </c>
      <c r="T52" s="39">
        <f t="shared" ca="1" si="22"/>
        <v>0</v>
      </c>
      <c r="U52" s="39">
        <f t="shared" si="23"/>
        <v>1</v>
      </c>
      <c r="V52" s="37">
        <f t="shared" si="17"/>
        <v>0</v>
      </c>
      <c r="W52" s="39">
        <f t="shared" ca="1" si="24"/>
        <v>0</v>
      </c>
      <c r="X52" s="39">
        <f t="shared" si="25"/>
        <v>0</v>
      </c>
    </row>
    <row r="53" spans="1:24" ht="14" x14ac:dyDescent="0.3">
      <c r="A53" s="293">
        <v>54</v>
      </c>
      <c r="B53" s="293" t="s">
        <v>985</v>
      </c>
      <c r="C53" s="294" t="s">
        <v>1020</v>
      </c>
      <c r="D53" s="294" t="s">
        <v>319</v>
      </c>
      <c r="E53" s="294">
        <v>1</v>
      </c>
      <c r="F53" s="250">
        <f ca="1">VLOOKUP($D53,Data!$C:$I,7,FALSE)</f>
        <v>0</v>
      </c>
      <c r="G53" s="296" t="str">
        <f t="shared" si="0"/>
        <v>ID.GV-21</v>
      </c>
      <c r="H53" s="296" t="str">
        <f t="shared" ca="1" si="1"/>
        <v>ID.GV-210</v>
      </c>
      <c r="K53" s="249"/>
      <c r="L53" s="36" t="s">
        <v>1156</v>
      </c>
      <c r="M53" s="37">
        <f t="shared" ca="1" si="18"/>
        <v>0</v>
      </c>
      <c r="N53" s="39">
        <f t="shared" ca="1" si="19"/>
        <v>0</v>
      </c>
      <c r="O53" s="39">
        <f t="shared" si="14"/>
        <v>9</v>
      </c>
      <c r="P53" s="37">
        <f t="shared" ca="1" si="15"/>
        <v>0</v>
      </c>
      <c r="Q53" s="39">
        <f t="shared" ca="1" si="20"/>
        <v>0</v>
      </c>
      <c r="R53" s="39">
        <f t="shared" si="21"/>
        <v>2</v>
      </c>
      <c r="S53" s="37">
        <f t="shared" ca="1" si="16"/>
        <v>0</v>
      </c>
      <c r="T53" s="39">
        <f t="shared" ca="1" si="22"/>
        <v>0</v>
      </c>
      <c r="U53" s="39">
        <f t="shared" si="23"/>
        <v>3</v>
      </c>
      <c r="V53" s="37">
        <f t="shared" ca="1" si="17"/>
        <v>0</v>
      </c>
      <c r="W53" s="39">
        <f t="shared" ca="1" si="24"/>
        <v>0</v>
      </c>
      <c r="X53" s="39">
        <f t="shared" si="25"/>
        <v>4</v>
      </c>
    </row>
    <row r="54" spans="1:24" ht="14" x14ac:dyDescent="0.3">
      <c r="A54" s="293">
        <v>55</v>
      </c>
      <c r="B54" s="293" t="s">
        <v>985</v>
      </c>
      <c r="C54" s="294" t="s">
        <v>1021</v>
      </c>
      <c r="D54" s="294" t="s">
        <v>320</v>
      </c>
      <c r="E54" s="294">
        <v>1</v>
      </c>
      <c r="F54" s="250">
        <f ca="1">VLOOKUP($D54,Data!$C:$I,7,FALSE)</f>
        <v>0</v>
      </c>
      <c r="G54" s="296" t="str">
        <f t="shared" si="0"/>
        <v>ID.GV-21</v>
      </c>
      <c r="H54" s="296" t="str">
        <f t="shared" ca="1" si="1"/>
        <v>ID.GV-210</v>
      </c>
      <c r="K54" s="249"/>
      <c r="L54" s="36" t="s">
        <v>1157</v>
      </c>
      <c r="M54" s="37">
        <f t="shared" ca="1" si="18"/>
        <v>0</v>
      </c>
      <c r="N54" s="39">
        <f t="shared" ca="1" si="19"/>
        <v>0</v>
      </c>
      <c r="O54" s="39">
        <f t="shared" si="14"/>
        <v>8</v>
      </c>
      <c r="P54" s="37">
        <f t="shared" ca="1" si="15"/>
        <v>0</v>
      </c>
      <c r="Q54" s="39">
        <f t="shared" ca="1" si="20"/>
        <v>0</v>
      </c>
      <c r="R54" s="39">
        <f t="shared" si="21"/>
        <v>1</v>
      </c>
      <c r="S54" s="37">
        <f t="shared" ca="1" si="16"/>
        <v>0</v>
      </c>
      <c r="T54" s="39">
        <f t="shared" ca="1" si="22"/>
        <v>0</v>
      </c>
      <c r="U54" s="39">
        <f t="shared" si="23"/>
        <v>5</v>
      </c>
      <c r="V54" s="37">
        <f t="shared" ca="1" si="17"/>
        <v>0</v>
      </c>
      <c r="W54" s="39">
        <f t="shared" ca="1" si="24"/>
        <v>0</v>
      </c>
      <c r="X54" s="39">
        <f t="shared" si="25"/>
        <v>2</v>
      </c>
    </row>
    <row r="55" spans="1:24" ht="14" x14ac:dyDescent="0.3">
      <c r="A55" s="293">
        <v>56</v>
      </c>
      <c r="B55" s="293" t="s">
        <v>985</v>
      </c>
      <c r="C55" s="294" t="s">
        <v>1022</v>
      </c>
      <c r="D55" s="294" t="s">
        <v>321</v>
      </c>
      <c r="E55" s="294">
        <v>2</v>
      </c>
      <c r="F55" s="250">
        <f ca="1">VLOOKUP($D55,Data!$C:$I,7,FALSE)</f>
        <v>0</v>
      </c>
      <c r="G55" s="296" t="str">
        <f t="shared" si="0"/>
        <v>ID.GV-22</v>
      </c>
      <c r="H55" s="296" t="str">
        <f t="shared" ca="1" si="1"/>
        <v>ID.GV-220</v>
      </c>
      <c r="K55" s="249"/>
      <c r="L55" s="36" t="s">
        <v>995</v>
      </c>
      <c r="M55" s="37">
        <f t="shared" ca="1" si="18"/>
        <v>0</v>
      </c>
      <c r="N55" s="39">
        <f t="shared" ca="1" si="19"/>
        <v>0</v>
      </c>
      <c r="O55" s="39">
        <f t="shared" si="14"/>
        <v>1</v>
      </c>
      <c r="P55" s="37">
        <f t="shared" si="15"/>
        <v>0</v>
      </c>
      <c r="Q55" s="39">
        <f t="shared" ca="1" si="20"/>
        <v>0</v>
      </c>
      <c r="R55" s="39">
        <f t="shared" si="21"/>
        <v>0</v>
      </c>
      <c r="S55" s="37">
        <f t="shared" si="16"/>
        <v>0</v>
      </c>
      <c r="T55" s="39">
        <f t="shared" ca="1" si="22"/>
        <v>0</v>
      </c>
      <c r="U55" s="39">
        <f t="shared" si="23"/>
        <v>0</v>
      </c>
      <c r="V55" s="37">
        <f t="shared" ca="1" si="17"/>
        <v>0</v>
      </c>
      <c r="W55" s="39">
        <f t="shared" ca="1" si="24"/>
        <v>0</v>
      </c>
      <c r="X55" s="39">
        <f t="shared" si="25"/>
        <v>1</v>
      </c>
    </row>
    <row r="56" spans="1:24" ht="14" x14ac:dyDescent="0.3">
      <c r="A56" s="293">
        <v>57</v>
      </c>
      <c r="B56" s="293" t="s">
        <v>985</v>
      </c>
      <c r="C56" s="294" t="s">
        <v>1039</v>
      </c>
      <c r="D56" s="294" t="s">
        <v>334</v>
      </c>
      <c r="E56" s="294">
        <v>2</v>
      </c>
      <c r="F56" s="250">
        <f ca="1">VLOOKUP($D56,Data!$C:$I,7,FALSE)</f>
        <v>0</v>
      </c>
      <c r="G56" s="296" t="str">
        <f t="shared" si="0"/>
        <v>ID.GV-22</v>
      </c>
      <c r="H56" s="296" t="str">
        <f t="shared" ca="1" si="1"/>
        <v>ID.GV-220</v>
      </c>
      <c r="K56" s="249"/>
      <c r="L56" s="36" t="s">
        <v>1158</v>
      </c>
      <c r="M56" s="37">
        <f t="shared" ca="1" si="18"/>
        <v>0</v>
      </c>
      <c r="N56" s="39">
        <f t="shared" ca="1" si="19"/>
        <v>0</v>
      </c>
      <c r="O56" s="39">
        <f t="shared" si="14"/>
        <v>1</v>
      </c>
      <c r="P56" s="37">
        <f t="shared" si="15"/>
        <v>0</v>
      </c>
      <c r="Q56" s="39">
        <f t="shared" ca="1" si="20"/>
        <v>0</v>
      </c>
      <c r="R56" s="39">
        <f t="shared" si="21"/>
        <v>0</v>
      </c>
      <c r="S56" s="37">
        <f t="shared" ca="1" si="16"/>
        <v>0</v>
      </c>
      <c r="T56" s="39">
        <f t="shared" ca="1" si="22"/>
        <v>0</v>
      </c>
      <c r="U56" s="39">
        <f t="shared" si="23"/>
        <v>1</v>
      </c>
      <c r="V56" s="37">
        <f t="shared" si="17"/>
        <v>0</v>
      </c>
      <c r="W56" s="39">
        <f t="shared" ca="1" si="24"/>
        <v>0</v>
      </c>
      <c r="X56" s="39">
        <f t="shared" si="25"/>
        <v>0</v>
      </c>
    </row>
    <row r="57" spans="1:24" ht="14" x14ac:dyDescent="0.3">
      <c r="A57" s="293">
        <v>60</v>
      </c>
      <c r="B57" s="293" t="s">
        <v>985</v>
      </c>
      <c r="C57" s="294" t="s">
        <v>1040</v>
      </c>
      <c r="D57" s="294" t="s">
        <v>323</v>
      </c>
      <c r="E57" s="294">
        <v>3</v>
      </c>
      <c r="F57" s="250">
        <f ca="1">VLOOKUP($D57,Data!$C:$I,7,FALSE)</f>
        <v>0</v>
      </c>
      <c r="G57" s="296" t="str">
        <f t="shared" si="0"/>
        <v>ID.GV-23</v>
      </c>
      <c r="H57" s="296" t="str">
        <f t="shared" ca="1" si="1"/>
        <v>ID.GV-230</v>
      </c>
      <c r="K57" s="249"/>
      <c r="L57" s="36" t="s">
        <v>1159</v>
      </c>
      <c r="M57" s="37">
        <f t="shared" ca="1" si="18"/>
        <v>0</v>
      </c>
      <c r="N57" s="39">
        <f t="shared" ca="1" si="19"/>
        <v>0</v>
      </c>
      <c r="O57" s="39">
        <f t="shared" si="14"/>
        <v>2</v>
      </c>
      <c r="P57" s="37">
        <f t="shared" si="15"/>
        <v>0</v>
      </c>
      <c r="Q57" s="39">
        <f t="shared" ca="1" si="20"/>
        <v>0</v>
      </c>
      <c r="R57" s="39">
        <f t="shared" si="21"/>
        <v>0</v>
      </c>
      <c r="S57" s="37">
        <f t="shared" si="16"/>
        <v>0</v>
      </c>
      <c r="T57" s="39">
        <f t="shared" ca="1" si="22"/>
        <v>0</v>
      </c>
      <c r="U57" s="39">
        <f t="shared" si="23"/>
        <v>0</v>
      </c>
      <c r="V57" s="37">
        <f t="shared" ca="1" si="17"/>
        <v>0</v>
      </c>
      <c r="W57" s="39">
        <f t="shared" ca="1" si="24"/>
        <v>0</v>
      </c>
      <c r="X57" s="39">
        <f t="shared" si="25"/>
        <v>2</v>
      </c>
    </row>
    <row r="58" spans="1:24" ht="14" x14ac:dyDescent="0.3">
      <c r="A58" s="293">
        <v>62</v>
      </c>
      <c r="B58" s="293" t="s">
        <v>985</v>
      </c>
      <c r="C58" s="294" t="s">
        <v>1041</v>
      </c>
      <c r="D58" s="294" t="s">
        <v>324</v>
      </c>
      <c r="E58" s="294">
        <v>3</v>
      </c>
      <c r="F58" s="250">
        <f ca="1">VLOOKUP($D58,Data!$C:$I,7,FALSE)</f>
        <v>0</v>
      </c>
      <c r="G58" s="296" t="str">
        <f t="shared" si="0"/>
        <v>ID.GV-23</v>
      </c>
      <c r="H58" s="296" t="str">
        <f t="shared" ca="1" si="1"/>
        <v>ID.GV-230</v>
      </c>
      <c r="K58" s="249"/>
      <c r="L58" s="36" t="s">
        <v>1161</v>
      </c>
      <c r="M58" s="37">
        <f t="shared" ca="1" si="18"/>
        <v>0</v>
      </c>
      <c r="N58" s="39">
        <f t="shared" ca="1" si="19"/>
        <v>0</v>
      </c>
      <c r="O58" s="39">
        <f t="shared" si="14"/>
        <v>6</v>
      </c>
      <c r="P58" s="37">
        <f t="shared" ca="1" si="15"/>
        <v>0</v>
      </c>
      <c r="Q58" s="39">
        <f t="shared" ca="1" si="20"/>
        <v>0</v>
      </c>
      <c r="R58" s="39">
        <f t="shared" si="21"/>
        <v>2</v>
      </c>
      <c r="S58" s="37">
        <f t="shared" ca="1" si="16"/>
        <v>0</v>
      </c>
      <c r="T58" s="39">
        <f t="shared" ca="1" si="22"/>
        <v>0</v>
      </c>
      <c r="U58" s="39">
        <f t="shared" si="23"/>
        <v>2</v>
      </c>
      <c r="V58" s="37">
        <f t="shared" ca="1" si="17"/>
        <v>0</v>
      </c>
      <c r="W58" s="39">
        <f t="shared" ca="1" si="24"/>
        <v>0</v>
      </c>
      <c r="X58" s="39">
        <f t="shared" si="25"/>
        <v>2</v>
      </c>
    </row>
    <row r="59" spans="1:24" ht="14" x14ac:dyDescent="0.3">
      <c r="A59" s="293">
        <v>63</v>
      </c>
      <c r="B59" s="293" t="s">
        <v>986</v>
      </c>
      <c r="C59" s="294" t="s">
        <v>1042</v>
      </c>
      <c r="D59" s="294" t="s">
        <v>401</v>
      </c>
      <c r="E59" s="294">
        <v>3</v>
      </c>
      <c r="F59" s="250">
        <f ca="1">VLOOKUP($D59,Data!$C:$I,7,FALSE)</f>
        <v>0</v>
      </c>
      <c r="G59" s="296" t="str">
        <f t="shared" si="0"/>
        <v>ID.GV-33</v>
      </c>
      <c r="H59" s="296" t="str">
        <f t="shared" ca="1" si="1"/>
        <v>ID.GV-330</v>
      </c>
      <c r="K59" s="249"/>
      <c r="L59" s="36" t="s">
        <v>1162</v>
      </c>
      <c r="M59" s="37">
        <f t="shared" ca="1" si="18"/>
        <v>0</v>
      </c>
      <c r="N59" s="39">
        <f t="shared" ca="1" si="19"/>
        <v>0</v>
      </c>
      <c r="O59" s="39">
        <f t="shared" si="14"/>
        <v>15</v>
      </c>
      <c r="P59" s="37">
        <f t="shared" ca="1" si="15"/>
        <v>0</v>
      </c>
      <c r="Q59" s="39">
        <f t="shared" ca="1" si="20"/>
        <v>0</v>
      </c>
      <c r="R59" s="39">
        <f t="shared" si="21"/>
        <v>1</v>
      </c>
      <c r="S59" s="37">
        <f t="shared" ca="1" si="16"/>
        <v>0</v>
      </c>
      <c r="T59" s="39">
        <f t="shared" ca="1" si="22"/>
        <v>0</v>
      </c>
      <c r="U59" s="39">
        <f t="shared" si="23"/>
        <v>10</v>
      </c>
      <c r="V59" s="37">
        <f t="shared" ca="1" si="17"/>
        <v>0</v>
      </c>
      <c r="W59" s="39">
        <f t="shared" ca="1" si="24"/>
        <v>0</v>
      </c>
      <c r="X59" s="39">
        <f t="shared" si="25"/>
        <v>4</v>
      </c>
    </row>
    <row r="60" spans="1:24" ht="14" x14ac:dyDescent="0.3">
      <c r="A60" s="293">
        <v>74</v>
      </c>
      <c r="B60" s="293" t="s">
        <v>1043</v>
      </c>
      <c r="C60" s="294" t="s">
        <v>1044</v>
      </c>
      <c r="D60" s="294" t="s">
        <v>44</v>
      </c>
      <c r="E60" s="294">
        <v>1</v>
      </c>
      <c r="F60" s="250">
        <f ca="1">VLOOKUP($D60,Data!$C:$I,7,FALSE)</f>
        <v>0</v>
      </c>
      <c r="G60" s="296" t="str">
        <f t="shared" si="0"/>
        <v>ID.GV-41</v>
      </c>
      <c r="H60" s="296" t="str">
        <f t="shared" ca="1" si="1"/>
        <v>ID.GV-410</v>
      </c>
      <c r="K60" s="249"/>
      <c r="L60" s="36" t="s">
        <v>1170</v>
      </c>
      <c r="M60" s="37">
        <f t="shared" ca="1" si="18"/>
        <v>0</v>
      </c>
      <c r="N60" s="39">
        <f t="shared" ca="1" si="19"/>
        <v>0</v>
      </c>
      <c r="O60" s="39">
        <f t="shared" si="14"/>
        <v>6</v>
      </c>
      <c r="P60" s="37">
        <f t="shared" si="15"/>
        <v>0</v>
      </c>
      <c r="Q60" s="39">
        <f t="shared" ca="1" si="20"/>
        <v>0</v>
      </c>
      <c r="R60" s="39">
        <f t="shared" si="21"/>
        <v>0</v>
      </c>
      <c r="S60" s="37">
        <f t="shared" ca="1" si="16"/>
        <v>0</v>
      </c>
      <c r="T60" s="39">
        <f t="shared" ca="1" si="22"/>
        <v>0</v>
      </c>
      <c r="U60" s="39">
        <f t="shared" si="23"/>
        <v>2</v>
      </c>
      <c r="V60" s="37">
        <f t="shared" ca="1" si="17"/>
        <v>0</v>
      </c>
      <c r="W60" s="39">
        <f t="shared" ca="1" si="24"/>
        <v>0</v>
      </c>
      <c r="X60" s="39">
        <f t="shared" si="25"/>
        <v>4</v>
      </c>
    </row>
    <row r="61" spans="1:24" ht="14" x14ac:dyDescent="0.3">
      <c r="A61" s="293">
        <v>75</v>
      </c>
      <c r="B61" s="293" t="s">
        <v>1043</v>
      </c>
      <c r="C61" s="294" t="s">
        <v>1045</v>
      </c>
      <c r="D61" s="294" t="s">
        <v>45</v>
      </c>
      <c r="E61" s="294">
        <v>1</v>
      </c>
      <c r="F61" s="250">
        <f ca="1">VLOOKUP($D61,Data!$C:$I,7,FALSE)</f>
        <v>0</v>
      </c>
      <c r="G61" s="296" t="str">
        <f t="shared" si="0"/>
        <v>ID.GV-41</v>
      </c>
      <c r="H61" s="296" t="str">
        <f t="shared" ca="1" si="1"/>
        <v>ID.GV-410</v>
      </c>
      <c r="K61" s="249"/>
      <c r="L61" s="36" t="s">
        <v>996</v>
      </c>
      <c r="M61" s="37">
        <f t="shared" ca="1" si="18"/>
        <v>0</v>
      </c>
      <c r="N61" s="39">
        <f t="shared" ca="1" si="19"/>
        <v>0</v>
      </c>
      <c r="O61" s="39">
        <f t="shared" si="14"/>
        <v>6</v>
      </c>
      <c r="P61" s="37">
        <f t="shared" ca="1" si="15"/>
        <v>0</v>
      </c>
      <c r="Q61" s="39">
        <f t="shared" ca="1" si="20"/>
        <v>0</v>
      </c>
      <c r="R61" s="39">
        <f t="shared" si="21"/>
        <v>2</v>
      </c>
      <c r="S61" s="37">
        <f t="shared" ca="1" si="16"/>
        <v>0</v>
      </c>
      <c r="T61" s="39">
        <f t="shared" ca="1" si="22"/>
        <v>0</v>
      </c>
      <c r="U61" s="39">
        <f t="shared" si="23"/>
        <v>2</v>
      </c>
      <c r="V61" s="37">
        <f t="shared" ca="1" si="17"/>
        <v>0</v>
      </c>
      <c r="W61" s="39">
        <f t="shared" ca="1" si="24"/>
        <v>0</v>
      </c>
      <c r="X61" s="39">
        <f t="shared" si="25"/>
        <v>2</v>
      </c>
    </row>
    <row r="62" spans="1:24" ht="14" x14ac:dyDescent="0.3">
      <c r="A62" s="293">
        <v>76</v>
      </c>
      <c r="B62" s="293" t="s">
        <v>1043</v>
      </c>
      <c r="C62" s="294" t="s">
        <v>1046</v>
      </c>
      <c r="D62" s="294" t="s">
        <v>56</v>
      </c>
      <c r="E62" s="294">
        <v>3</v>
      </c>
      <c r="F62" s="250">
        <f ca="1">VLOOKUP($D62,Data!$C:$I,7,FALSE)</f>
        <v>0</v>
      </c>
      <c r="G62" s="296" t="str">
        <f t="shared" si="0"/>
        <v>ID.GV-43</v>
      </c>
      <c r="H62" s="296" t="str">
        <f t="shared" ca="1" si="1"/>
        <v>ID.GV-430</v>
      </c>
      <c r="K62" s="249"/>
      <c r="L62" s="36" t="s">
        <v>1176</v>
      </c>
      <c r="M62" s="37">
        <f t="shared" ca="1" si="18"/>
        <v>0</v>
      </c>
      <c r="N62" s="39">
        <f t="shared" ca="1" si="19"/>
        <v>0</v>
      </c>
      <c r="O62" s="39">
        <f t="shared" si="14"/>
        <v>3</v>
      </c>
      <c r="P62" s="37">
        <f t="shared" si="15"/>
        <v>0</v>
      </c>
      <c r="Q62" s="39">
        <f t="shared" ca="1" si="20"/>
        <v>0</v>
      </c>
      <c r="R62" s="39">
        <f t="shared" si="21"/>
        <v>0</v>
      </c>
      <c r="S62" s="37">
        <f t="shared" ca="1" si="16"/>
        <v>0</v>
      </c>
      <c r="T62" s="39">
        <f t="shared" ca="1" si="22"/>
        <v>0</v>
      </c>
      <c r="U62" s="39">
        <f t="shared" si="23"/>
        <v>1</v>
      </c>
      <c r="V62" s="37">
        <f t="shared" ca="1" si="17"/>
        <v>0</v>
      </c>
      <c r="W62" s="39">
        <f t="shared" ca="1" si="24"/>
        <v>0</v>
      </c>
      <c r="X62" s="39">
        <f t="shared" si="25"/>
        <v>2</v>
      </c>
    </row>
    <row r="63" spans="1:24" ht="14" x14ac:dyDescent="0.3">
      <c r="A63" s="293">
        <v>77</v>
      </c>
      <c r="B63" s="293" t="s">
        <v>1043</v>
      </c>
      <c r="C63" s="294" t="s">
        <v>1038</v>
      </c>
      <c r="D63" s="294" t="s">
        <v>86</v>
      </c>
      <c r="E63" s="294">
        <v>3</v>
      </c>
      <c r="F63" s="250">
        <f ca="1">VLOOKUP($D63,Data!$C:$I,7,FALSE)</f>
        <v>0</v>
      </c>
      <c r="G63" s="296" t="str">
        <f t="shared" si="0"/>
        <v>ID.GV-43</v>
      </c>
      <c r="H63" s="296" t="str">
        <f t="shared" ca="1" si="1"/>
        <v>ID.GV-430</v>
      </c>
      <c r="K63" s="249" t="s">
        <v>1262</v>
      </c>
      <c r="L63" s="36" t="s">
        <v>1179</v>
      </c>
      <c r="M63" s="37">
        <f t="shared" ca="1" si="18"/>
        <v>0</v>
      </c>
      <c r="N63" s="39">
        <f t="shared" ca="1" si="19"/>
        <v>0</v>
      </c>
      <c r="O63" s="39">
        <f t="shared" si="14"/>
        <v>3</v>
      </c>
      <c r="P63" s="37">
        <f t="shared" ca="1" si="15"/>
        <v>0</v>
      </c>
      <c r="Q63" s="39">
        <f t="shared" ca="1" si="20"/>
        <v>0</v>
      </c>
      <c r="R63" s="39">
        <f t="shared" si="21"/>
        <v>1</v>
      </c>
      <c r="S63" s="37">
        <f t="shared" ca="1" si="16"/>
        <v>0</v>
      </c>
      <c r="T63" s="39">
        <f t="shared" ca="1" si="22"/>
        <v>0</v>
      </c>
      <c r="U63" s="39">
        <f t="shared" si="23"/>
        <v>1</v>
      </c>
      <c r="V63" s="37">
        <f t="shared" ca="1" si="17"/>
        <v>0</v>
      </c>
      <c r="W63" s="39">
        <f t="shared" ca="1" si="24"/>
        <v>0</v>
      </c>
      <c r="X63" s="39">
        <f t="shared" si="25"/>
        <v>1</v>
      </c>
    </row>
    <row r="64" spans="1:24" ht="14" x14ac:dyDescent="0.3">
      <c r="A64" s="293">
        <v>78</v>
      </c>
      <c r="B64" s="293" t="s">
        <v>1043</v>
      </c>
      <c r="C64" s="294" t="s">
        <v>1017</v>
      </c>
      <c r="D64" s="294" t="s">
        <v>65</v>
      </c>
      <c r="E64" s="294">
        <v>2</v>
      </c>
      <c r="F64" s="250">
        <f ca="1">VLOOKUP($D64,Data!$C:$I,7,FALSE)</f>
        <v>0</v>
      </c>
      <c r="G64" s="296" t="str">
        <f t="shared" si="0"/>
        <v>ID.GV-42</v>
      </c>
      <c r="H64" s="296" t="str">
        <f t="shared" ca="1" si="1"/>
        <v>ID.GV-420</v>
      </c>
      <c r="K64" s="249"/>
      <c r="L64" s="36" t="s">
        <v>997</v>
      </c>
      <c r="M64" s="37">
        <f t="shared" ca="1" si="18"/>
        <v>0</v>
      </c>
      <c r="N64" s="39">
        <f t="shared" ca="1" si="19"/>
        <v>0</v>
      </c>
      <c r="O64" s="39">
        <f t="shared" si="14"/>
        <v>8</v>
      </c>
      <c r="P64" s="37">
        <f t="shared" ca="1" si="15"/>
        <v>0</v>
      </c>
      <c r="Q64" s="39">
        <f t="shared" ca="1" si="20"/>
        <v>0</v>
      </c>
      <c r="R64" s="39">
        <f t="shared" si="21"/>
        <v>4</v>
      </c>
      <c r="S64" s="37">
        <f t="shared" ca="1" si="16"/>
        <v>0</v>
      </c>
      <c r="T64" s="39">
        <f t="shared" ca="1" si="22"/>
        <v>0</v>
      </c>
      <c r="U64" s="39">
        <f t="shared" si="23"/>
        <v>3</v>
      </c>
      <c r="V64" s="37">
        <f t="shared" ca="1" si="17"/>
        <v>0</v>
      </c>
      <c r="W64" s="39">
        <f t="shared" ca="1" si="24"/>
        <v>0</v>
      </c>
      <c r="X64" s="39">
        <f t="shared" si="25"/>
        <v>1</v>
      </c>
    </row>
    <row r="65" spans="1:24" ht="14" x14ac:dyDescent="0.3">
      <c r="A65" s="293">
        <v>79</v>
      </c>
      <c r="B65" s="293" t="s">
        <v>1043</v>
      </c>
      <c r="C65" s="294" t="s">
        <v>1047</v>
      </c>
      <c r="D65" s="294" t="s">
        <v>73</v>
      </c>
      <c r="E65" s="294">
        <v>3</v>
      </c>
      <c r="F65" s="250">
        <f ca="1">VLOOKUP($D65,Data!$C:$I,7,FALSE)</f>
        <v>0</v>
      </c>
      <c r="G65" s="296" t="str">
        <f t="shared" si="0"/>
        <v>ID.GV-43</v>
      </c>
      <c r="H65" s="296" t="str">
        <f t="shared" ca="1" si="1"/>
        <v>ID.GV-430</v>
      </c>
      <c r="K65" s="249" t="s">
        <v>1263</v>
      </c>
      <c r="L65" s="36" t="s">
        <v>1181</v>
      </c>
      <c r="M65" s="37">
        <f t="shared" ca="1" si="18"/>
        <v>0</v>
      </c>
      <c r="N65" s="39">
        <f t="shared" ca="1" si="19"/>
        <v>0</v>
      </c>
      <c r="O65" s="39">
        <f t="shared" si="14"/>
        <v>8</v>
      </c>
      <c r="P65" s="37">
        <f t="shared" ca="1" si="15"/>
        <v>0</v>
      </c>
      <c r="Q65" s="39">
        <f t="shared" ca="1" si="20"/>
        <v>0</v>
      </c>
      <c r="R65" s="39">
        <f t="shared" si="21"/>
        <v>2</v>
      </c>
      <c r="S65" s="37">
        <f t="shared" ca="1" si="16"/>
        <v>0</v>
      </c>
      <c r="T65" s="39">
        <f t="shared" ca="1" si="22"/>
        <v>0</v>
      </c>
      <c r="U65" s="39">
        <f t="shared" si="23"/>
        <v>4</v>
      </c>
      <c r="V65" s="37">
        <f t="shared" ca="1" si="17"/>
        <v>0</v>
      </c>
      <c r="W65" s="39">
        <f t="shared" ca="1" si="24"/>
        <v>0</v>
      </c>
      <c r="X65" s="39">
        <f t="shared" si="25"/>
        <v>2</v>
      </c>
    </row>
    <row r="66" spans="1:24" ht="14" x14ac:dyDescent="0.3">
      <c r="A66" s="293">
        <v>80</v>
      </c>
      <c r="B66" s="293" t="s">
        <v>1048</v>
      </c>
      <c r="C66" s="294" t="s">
        <v>1049</v>
      </c>
      <c r="D66" s="294" t="s">
        <v>200</v>
      </c>
      <c r="E66" s="294">
        <v>1</v>
      </c>
      <c r="F66" s="250">
        <f ca="1">VLOOKUP($D66,Data!$C:$I,7,FALSE)</f>
        <v>0</v>
      </c>
      <c r="G66" s="296" t="str">
        <f t="shared" ref="G66:G129" si="26">CONCATENATE($B66,$E66)</f>
        <v>ID.RA-11</v>
      </c>
      <c r="H66" s="296" t="str">
        <f t="shared" ref="H66:H129" ca="1" si="27">_xlfn.IFNA(CONCATENATE($B66,$E66,$F66),CONCATENATE($B66,$E66,0))</f>
        <v>ID.RA-110</v>
      </c>
      <c r="K66" s="249"/>
      <c r="L66" s="36" t="s">
        <v>998</v>
      </c>
      <c r="M66" s="37">
        <f t="shared" ca="1" si="18"/>
        <v>0</v>
      </c>
      <c r="N66" s="39">
        <f t="shared" ca="1" si="19"/>
        <v>0</v>
      </c>
      <c r="O66" s="39">
        <f t="shared" si="14"/>
        <v>4</v>
      </c>
      <c r="P66" s="37">
        <f t="shared" ca="1" si="15"/>
        <v>0</v>
      </c>
      <c r="Q66" s="39">
        <f t="shared" ref="Q66:Q97" ca="1" si="28">COUNTIF($H:$H,CONCATENATE($L66,P$1,1))</f>
        <v>0</v>
      </c>
      <c r="R66" s="39">
        <f t="shared" ref="R66:R97" si="29">COUNTIF($G:$G,CONCATENATE($L66,P$1))</f>
        <v>3</v>
      </c>
      <c r="S66" s="37">
        <f t="shared" si="16"/>
        <v>0</v>
      </c>
      <c r="T66" s="39">
        <f t="shared" ref="T66:T97" ca="1" si="30">COUNTIF($H:$H,CONCATENATE($L66,S$1,1))</f>
        <v>0</v>
      </c>
      <c r="U66" s="39">
        <f t="shared" ref="U66:U97" si="31">COUNTIF($G:$G,CONCATENATE($L66,S$1))</f>
        <v>0</v>
      </c>
      <c r="V66" s="37">
        <f t="shared" ref="V66:V109" ca="1" si="32">IF(X66=0,0,W66/X66)</f>
        <v>0</v>
      </c>
      <c r="W66" s="39">
        <f t="shared" ref="W66:W97" ca="1" si="33">COUNTIF($H:$H,CONCATENATE($L66,V$1,1))</f>
        <v>0</v>
      </c>
      <c r="X66" s="39">
        <f t="shared" ref="X66:X97" si="34">COUNTIF($G:$G,CONCATENATE($L66,V$1))</f>
        <v>1</v>
      </c>
    </row>
    <row r="67" spans="1:24" ht="14" x14ac:dyDescent="0.3">
      <c r="A67" s="293">
        <v>81</v>
      </c>
      <c r="B67" s="293" t="s">
        <v>1048</v>
      </c>
      <c r="C67" s="294" t="s">
        <v>1050</v>
      </c>
      <c r="D67" s="294" t="s">
        <v>201</v>
      </c>
      <c r="E67" s="294">
        <v>1</v>
      </c>
      <c r="F67" s="250">
        <f ca="1">VLOOKUP($D67,Data!$C:$I,7,FALSE)</f>
        <v>0</v>
      </c>
      <c r="G67" s="296" t="str">
        <f t="shared" si="26"/>
        <v>ID.RA-11</v>
      </c>
      <c r="H67" s="296" t="str">
        <f t="shared" ca="1" si="27"/>
        <v>ID.RA-110</v>
      </c>
      <c r="K67" s="249"/>
      <c r="L67" s="36" t="s">
        <v>999</v>
      </c>
      <c r="M67" s="37">
        <f t="shared" ref="M67:M109" ca="1" si="35">IF(O67=0,0,N67/O67)</f>
        <v>0</v>
      </c>
      <c r="N67" s="39">
        <f t="shared" ref="N67:N109" ca="1" si="36">SUM(Q67+T67+W67)</f>
        <v>0</v>
      </c>
      <c r="O67" s="39">
        <f t="shared" ref="O67:O109" si="37">SUM(R67+U67+X67)</f>
        <v>8</v>
      </c>
      <c r="P67" s="37">
        <f t="shared" ca="1" si="15"/>
        <v>0</v>
      </c>
      <c r="Q67" s="39">
        <f t="shared" ca="1" si="28"/>
        <v>0</v>
      </c>
      <c r="R67" s="39">
        <f t="shared" si="29"/>
        <v>3</v>
      </c>
      <c r="S67" s="37">
        <f t="shared" ca="1" si="16"/>
        <v>0</v>
      </c>
      <c r="T67" s="39">
        <f t="shared" ca="1" si="30"/>
        <v>0</v>
      </c>
      <c r="U67" s="39">
        <f t="shared" si="31"/>
        <v>3</v>
      </c>
      <c r="V67" s="37">
        <f t="shared" ca="1" si="32"/>
        <v>0</v>
      </c>
      <c r="W67" s="39">
        <f t="shared" ca="1" si="33"/>
        <v>0</v>
      </c>
      <c r="X67" s="39">
        <f t="shared" si="34"/>
        <v>2</v>
      </c>
    </row>
    <row r="68" spans="1:24" ht="14" x14ac:dyDescent="0.3">
      <c r="A68" s="293">
        <v>82</v>
      </c>
      <c r="B68" s="293" t="s">
        <v>1048</v>
      </c>
      <c r="C68" s="294" t="s">
        <v>1051</v>
      </c>
      <c r="D68" s="294" t="s">
        <v>204</v>
      </c>
      <c r="E68" s="294">
        <v>2</v>
      </c>
      <c r="F68" s="250">
        <f ca="1">VLOOKUP($D68,Data!$C:$I,7,FALSE)</f>
        <v>0</v>
      </c>
      <c r="G68" s="296" t="str">
        <f t="shared" si="26"/>
        <v>ID.RA-12</v>
      </c>
      <c r="H68" s="296" t="str">
        <f t="shared" ca="1" si="27"/>
        <v>ID.RA-120</v>
      </c>
      <c r="K68" s="249"/>
      <c r="L68" s="36" t="s">
        <v>1189</v>
      </c>
      <c r="M68" s="37">
        <f t="shared" ca="1" si="35"/>
        <v>0</v>
      </c>
      <c r="N68" s="39">
        <f t="shared" ca="1" si="36"/>
        <v>0</v>
      </c>
      <c r="O68" s="39">
        <f t="shared" si="37"/>
        <v>7</v>
      </c>
      <c r="P68" s="37">
        <f t="shared" ca="1" si="15"/>
        <v>0</v>
      </c>
      <c r="Q68" s="39">
        <f t="shared" ca="1" si="28"/>
        <v>0</v>
      </c>
      <c r="R68" s="39">
        <f t="shared" si="29"/>
        <v>1</v>
      </c>
      <c r="S68" s="37">
        <f t="shared" ca="1" si="16"/>
        <v>0</v>
      </c>
      <c r="T68" s="39">
        <f t="shared" ca="1" si="30"/>
        <v>0</v>
      </c>
      <c r="U68" s="39">
        <f t="shared" si="31"/>
        <v>4</v>
      </c>
      <c r="V68" s="37">
        <f t="shared" ca="1" si="32"/>
        <v>0</v>
      </c>
      <c r="W68" s="39">
        <f t="shared" ca="1" si="33"/>
        <v>0</v>
      </c>
      <c r="X68" s="39">
        <f t="shared" si="34"/>
        <v>2</v>
      </c>
    </row>
    <row r="69" spans="1:24" ht="14" x14ac:dyDescent="0.3">
      <c r="A69" s="293">
        <v>83</v>
      </c>
      <c r="B69" s="293" t="s">
        <v>1048</v>
      </c>
      <c r="C69" s="294" t="s">
        <v>1052</v>
      </c>
      <c r="D69" s="294" t="s">
        <v>202</v>
      </c>
      <c r="E69" s="294">
        <v>1</v>
      </c>
      <c r="F69" s="250">
        <f ca="1">VLOOKUP($D69,Data!$C:$I,7,FALSE)</f>
        <v>0</v>
      </c>
      <c r="G69" s="296" t="str">
        <f t="shared" si="26"/>
        <v>ID.RA-11</v>
      </c>
      <c r="H69" s="296" t="str">
        <f t="shared" ca="1" si="27"/>
        <v>ID.RA-110</v>
      </c>
      <c r="K69" s="249"/>
      <c r="L69" s="36" t="s">
        <v>1190</v>
      </c>
      <c r="M69" s="37">
        <f t="shared" ca="1" si="35"/>
        <v>0</v>
      </c>
      <c r="N69" s="39">
        <f t="shared" ca="1" si="36"/>
        <v>0</v>
      </c>
      <c r="O69" s="39">
        <f t="shared" si="37"/>
        <v>3</v>
      </c>
      <c r="P69" s="37">
        <f t="shared" ca="1" si="15"/>
        <v>0</v>
      </c>
      <c r="Q69" s="39">
        <f t="shared" ca="1" si="28"/>
        <v>0</v>
      </c>
      <c r="R69" s="39">
        <f t="shared" si="29"/>
        <v>1</v>
      </c>
      <c r="S69" s="37">
        <f t="shared" ca="1" si="16"/>
        <v>0</v>
      </c>
      <c r="T69" s="39">
        <f t="shared" ca="1" si="30"/>
        <v>0</v>
      </c>
      <c r="U69" s="39">
        <f t="shared" si="31"/>
        <v>2</v>
      </c>
      <c r="V69" s="37">
        <f t="shared" si="32"/>
        <v>0</v>
      </c>
      <c r="W69" s="39">
        <f t="shared" ca="1" si="33"/>
        <v>0</v>
      </c>
      <c r="X69" s="39">
        <f t="shared" si="34"/>
        <v>0</v>
      </c>
    </row>
    <row r="70" spans="1:24" ht="14" x14ac:dyDescent="0.3">
      <c r="A70" s="293">
        <v>84</v>
      </c>
      <c r="B70" s="293" t="s">
        <v>1048</v>
      </c>
      <c r="C70" s="294" t="s">
        <v>1053</v>
      </c>
      <c r="D70" s="294" t="s">
        <v>206</v>
      </c>
      <c r="E70" s="294">
        <v>2</v>
      </c>
      <c r="F70" s="250">
        <f ca="1">VLOOKUP($D70,Data!$C:$I,7,FALSE)</f>
        <v>0</v>
      </c>
      <c r="G70" s="296" t="str">
        <f t="shared" si="26"/>
        <v>ID.RA-12</v>
      </c>
      <c r="H70" s="296" t="str">
        <f t="shared" ca="1" si="27"/>
        <v>ID.RA-120</v>
      </c>
      <c r="K70" s="249" t="s">
        <v>1264</v>
      </c>
      <c r="L70" s="36" t="s">
        <v>1191</v>
      </c>
      <c r="M70" s="37">
        <f t="shared" ca="1" si="35"/>
        <v>0</v>
      </c>
      <c r="N70" s="39">
        <f t="shared" ca="1" si="36"/>
        <v>0</v>
      </c>
      <c r="O70" s="39">
        <f t="shared" si="37"/>
        <v>1</v>
      </c>
      <c r="P70" s="37">
        <f t="shared" ca="1" si="15"/>
        <v>0</v>
      </c>
      <c r="Q70" s="39">
        <f t="shared" ca="1" si="28"/>
        <v>0</v>
      </c>
      <c r="R70" s="39">
        <f t="shared" si="29"/>
        <v>1</v>
      </c>
      <c r="S70" s="37">
        <f t="shared" si="16"/>
        <v>0</v>
      </c>
      <c r="T70" s="39">
        <f t="shared" ca="1" si="30"/>
        <v>0</v>
      </c>
      <c r="U70" s="39">
        <f t="shared" si="31"/>
        <v>0</v>
      </c>
      <c r="V70" s="37">
        <f t="shared" si="32"/>
        <v>0</v>
      </c>
      <c r="W70" s="39">
        <f t="shared" ca="1" si="33"/>
        <v>0</v>
      </c>
      <c r="X70" s="39">
        <f t="shared" si="34"/>
        <v>0</v>
      </c>
    </row>
    <row r="71" spans="1:24" ht="14" x14ac:dyDescent="0.3">
      <c r="A71" s="293">
        <v>85</v>
      </c>
      <c r="B71" s="293" t="s">
        <v>1048</v>
      </c>
      <c r="C71" s="294" t="s">
        <v>1017</v>
      </c>
      <c r="D71" s="294" t="s">
        <v>65</v>
      </c>
      <c r="E71" s="294">
        <v>2</v>
      </c>
      <c r="F71" s="250">
        <f ca="1">VLOOKUP($D71,Data!$C:$I,7,FALSE)</f>
        <v>0</v>
      </c>
      <c r="G71" s="296" t="str">
        <f t="shared" si="26"/>
        <v>ID.RA-12</v>
      </c>
      <c r="H71" s="296" t="str">
        <f t="shared" ca="1" si="27"/>
        <v>ID.RA-120</v>
      </c>
      <c r="K71" s="249"/>
      <c r="L71" s="36" t="s">
        <v>1192</v>
      </c>
      <c r="M71" s="37">
        <f t="shared" ca="1" si="35"/>
        <v>0</v>
      </c>
      <c r="N71" s="39">
        <f t="shared" ca="1" si="36"/>
        <v>0</v>
      </c>
      <c r="O71" s="39">
        <f t="shared" si="37"/>
        <v>3</v>
      </c>
      <c r="P71" s="37">
        <f t="shared" si="15"/>
        <v>0</v>
      </c>
      <c r="Q71" s="39">
        <f t="shared" ca="1" si="28"/>
        <v>0</v>
      </c>
      <c r="R71" s="39">
        <f t="shared" si="29"/>
        <v>0</v>
      </c>
      <c r="S71" s="37">
        <f t="shared" si="16"/>
        <v>0</v>
      </c>
      <c r="T71" s="39">
        <f t="shared" ca="1" si="30"/>
        <v>0</v>
      </c>
      <c r="U71" s="39">
        <f t="shared" si="31"/>
        <v>0</v>
      </c>
      <c r="V71" s="37">
        <f t="shared" ca="1" si="32"/>
        <v>0</v>
      </c>
      <c r="W71" s="39">
        <f t="shared" ca="1" si="33"/>
        <v>0</v>
      </c>
      <c r="X71" s="39">
        <f t="shared" si="34"/>
        <v>3</v>
      </c>
    </row>
    <row r="72" spans="1:24" ht="14" x14ac:dyDescent="0.3">
      <c r="A72" s="293">
        <v>86</v>
      </c>
      <c r="B72" s="293" t="s">
        <v>1048</v>
      </c>
      <c r="C72" s="294" t="s">
        <v>1054</v>
      </c>
      <c r="D72" s="294" t="s">
        <v>48</v>
      </c>
      <c r="E72" s="294">
        <v>2</v>
      </c>
      <c r="F72" s="250">
        <f ca="1">VLOOKUP($D72,Data!$C:$I,7,FALSE)</f>
        <v>0</v>
      </c>
      <c r="G72" s="296" t="str">
        <f t="shared" si="26"/>
        <v>ID.RA-12</v>
      </c>
      <c r="H72" s="296" t="str">
        <f t="shared" ca="1" si="27"/>
        <v>ID.RA-120</v>
      </c>
      <c r="K72" s="249"/>
      <c r="L72" s="36" t="s">
        <v>1196</v>
      </c>
      <c r="M72" s="37">
        <f t="shared" ca="1" si="35"/>
        <v>0</v>
      </c>
      <c r="N72" s="39">
        <f t="shared" ca="1" si="36"/>
        <v>0</v>
      </c>
      <c r="O72" s="39">
        <f t="shared" si="37"/>
        <v>3</v>
      </c>
      <c r="P72" s="37">
        <f t="shared" si="15"/>
        <v>0</v>
      </c>
      <c r="Q72" s="39">
        <f t="shared" ca="1" si="28"/>
        <v>0</v>
      </c>
      <c r="R72" s="39">
        <f t="shared" si="29"/>
        <v>0</v>
      </c>
      <c r="S72" s="37">
        <f t="shared" ca="1" si="16"/>
        <v>0</v>
      </c>
      <c r="T72" s="39">
        <f t="shared" ca="1" si="30"/>
        <v>0</v>
      </c>
      <c r="U72" s="39">
        <f t="shared" si="31"/>
        <v>1</v>
      </c>
      <c r="V72" s="37">
        <f t="shared" ca="1" si="32"/>
        <v>0</v>
      </c>
      <c r="W72" s="39">
        <f t="shared" ca="1" si="33"/>
        <v>0</v>
      </c>
      <c r="X72" s="39">
        <f t="shared" si="34"/>
        <v>2</v>
      </c>
    </row>
    <row r="73" spans="1:24" ht="14" x14ac:dyDescent="0.3">
      <c r="A73" s="293">
        <v>86</v>
      </c>
      <c r="B73" s="293" t="s">
        <v>1048</v>
      </c>
      <c r="C73" s="294" t="s">
        <v>1054</v>
      </c>
      <c r="D73" s="294" t="s">
        <v>61</v>
      </c>
      <c r="E73" s="295">
        <v>3</v>
      </c>
      <c r="F73" s="250">
        <f ca="1">VLOOKUP($D73,Data!$C:$I,7,FALSE)</f>
        <v>0</v>
      </c>
      <c r="G73" s="296" t="str">
        <f t="shared" si="26"/>
        <v>ID.RA-13</v>
      </c>
      <c r="H73" s="296" t="str">
        <f t="shared" ca="1" si="27"/>
        <v>ID.RA-130</v>
      </c>
      <c r="K73" s="249"/>
      <c r="L73" s="36" t="s">
        <v>1198</v>
      </c>
      <c r="M73" s="37">
        <f t="shared" ca="1" si="35"/>
        <v>0</v>
      </c>
      <c r="N73" s="39">
        <f t="shared" ca="1" si="36"/>
        <v>0</v>
      </c>
      <c r="O73" s="39">
        <f t="shared" si="37"/>
        <v>6</v>
      </c>
      <c r="P73" s="37">
        <f t="shared" ca="1" si="15"/>
        <v>0</v>
      </c>
      <c r="Q73" s="39">
        <f t="shared" ca="1" si="28"/>
        <v>0</v>
      </c>
      <c r="R73" s="39">
        <f t="shared" si="29"/>
        <v>1</v>
      </c>
      <c r="S73" s="37">
        <f t="shared" ca="1" si="16"/>
        <v>0</v>
      </c>
      <c r="T73" s="39">
        <f t="shared" ca="1" si="30"/>
        <v>0</v>
      </c>
      <c r="U73" s="39">
        <f t="shared" si="31"/>
        <v>3</v>
      </c>
      <c r="V73" s="37">
        <f t="shared" ca="1" si="32"/>
        <v>0</v>
      </c>
      <c r="W73" s="39">
        <f t="shared" ca="1" si="33"/>
        <v>0</v>
      </c>
      <c r="X73" s="39">
        <f t="shared" si="34"/>
        <v>2</v>
      </c>
    </row>
    <row r="74" spans="1:24" ht="14" x14ac:dyDescent="0.3">
      <c r="A74" s="293">
        <v>87</v>
      </c>
      <c r="B74" s="293" t="s">
        <v>1048</v>
      </c>
      <c r="C74" s="294" t="s">
        <v>1055</v>
      </c>
      <c r="D74" s="294" t="s">
        <v>210</v>
      </c>
      <c r="E74" s="294">
        <v>3</v>
      </c>
      <c r="F74" s="250">
        <f ca="1">VLOOKUP($D74,Data!$C:$I,7,FALSE)</f>
        <v>0</v>
      </c>
      <c r="G74" s="296" t="str">
        <f t="shared" si="26"/>
        <v>ID.RA-13</v>
      </c>
      <c r="H74" s="296" t="str">
        <f t="shared" ca="1" si="27"/>
        <v>ID.RA-130</v>
      </c>
      <c r="K74" s="249"/>
      <c r="L74" s="36" t="s">
        <v>1202</v>
      </c>
      <c r="M74" s="37">
        <f t="shared" ca="1" si="35"/>
        <v>0</v>
      </c>
      <c r="N74" s="39">
        <f t="shared" ca="1" si="36"/>
        <v>0</v>
      </c>
      <c r="O74" s="39">
        <f t="shared" si="37"/>
        <v>8</v>
      </c>
      <c r="P74" s="37">
        <f t="shared" ca="1" si="15"/>
        <v>0</v>
      </c>
      <c r="Q74" s="39">
        <f t="shared" ca="1" si="28"/>
        <v>0</v>
      </c>
      <c r="R74" s="39">
        <f t="shared" si="29"/>
        <v>1</v>
      </c>
      <c r="S74" s="37">
        <f t="shared" ca="1" si="16"/>
        <v>0</v>
      </c>
      <c r="T74" s="39">
        <f t="shared" ca="1" si="30"/>
        <v>0</v>
      </c>
      <c r="U74" s="39">
        <f t="shared" si="31"/>
        <v>4</v>
      </c>
      <c r="V74" s="37">
        <f t="shared" ca="1" si="32"/>
        <v>0</v>
      </c>
      <c r="W74" s="39">
        <f t="shared" ca="1" si="33"/>
        <v>0</v>
      </c>
      <c r="X74" s="39">
        <f t="shared" si="34"/>
        <v>3</v>
      </c>
    </row>
    <row r="75" spans="1:24" ht="14" x14ac:dyDescent="0.3">
      <c r="A75" s="293">
        <v>89</v>
      </c>
      <c r="B75" s="293" t="s">
        <v>1048</v>
      </c>
      <c r="C75" s="294" t="s">
        <v>1056</v>
      </c>
      <c r="D75" s="294" t="s">
        <v>212</v>
      </c>
      <c r="E75" s="294">
        <v>3</v>
      </c>
      <c r="F75" s="250">
        <f ca="1">VLOOKUP($D75,Data!$C:$I,7,FALSE)</f>
        <v>0</v>
      </c>
      <c r="G75" s="296" t="str">
        <f t="shared" si="26"/>
        <v>ID.RA-13</v>
      </c>
      <c r="H75" s="296" t="str">
        <f t="shared" ca="1" si="27"/>
        <v>ID.RA-130</v>
      </c>
      <c r="K75" s="249" t="s">
        <v>1265</v>
      </c>
      <c r="L75" s="36" t="s">
        <v>1205</v>
      </c>
      <c r="M75" s="37">
        <f t="shared" ca="1" si="35"/>
        <v>0</v>
      </c>
      <c r="N75" s="39">
        <f t="shared" ca="1" si="36"/>
        <v>0</v>
      </c>
      <c r="O75" s="39">
        <f t="shared" si="37"/>
        <v>8</v>
      </c>
      <c r="P75" s="37">
        <f t="shared" ca="1" si="15"/>
        <v>0</v>
      </c>
      <c r="Q75" s="39">
        <f t="shared" ca="1" si="28"/>
        <v>0</v>
      </c>
      <c r="R75" s="39">
        <f t="shared" si="29"/>
        <v>2</v>
      </c>
      <c r="S75" s="37">
        <f t="shared" ca="1" si="16"/>
        <v>0</v>
      </c>
      <c r="T75" s="39">
        <f t="shared" ca="1" si="30"/>
        <v>0</v>
      </c>
      <c r="U75" s="39">
        <f t="shared" si="31"/>
        <v>3</v>
      </c>
      <c r="V75" s="37">
        <f t="shared" ca="1" si="32"/>
        <v>0</v>
      </c>
      <c r="W75" s="39">
        <f t="shared" ca="1" si="33"/>
        <v>0</v>
      </c>
      <c r="X75" s="39">
        <f t="shared" si="34"/>
        <v>3</v>
      </c>
    </row>
    <row r="76" spans="1:24" ht="14" x14ac:dyDescent="0.3">
      <c r="A76" s="293">
        <v>91</v>
      </c>
      <c r="B76" s="293" t="s">
        <v>1057</v>
      </c>
      <c r="C76" s="294" t="s">
        <v>1058</v>
      </c>
      <c r="D76" s="294" t="s">
        <v>186</v>
      </c>
      <c r="E76" s="294">
        <v>1</v>
      </c>
      <c r="F76" s="250">
        <f ca="1">VLOOKUP($D76,Data!$C:$I,7,FALSE)</f>
        <v>0</v>
      </c>
      <c r="G76" s="296" t="str">
        <f t="shared" si="26"/>
        <v>ID.RA-21</v>
      </c>
      <c r="H76" s="296" t="str">
        <f t="shared" ca="1" si="27"/>
        <v>ID.RA-210</v>
      </c>
      <c r="K76" s="249"/>
      <c r="L76" s="36" t="s">
        <v>1209</v>
      </c>
      <c r="M76" s="37">
        <f t="shared" ca="1" si="35"/>
        <v>0</v>
      </c>
      <c r="N76" s="39">
        <f t="shared" ca="1" si="36"/>
        <v>0</v>
      </c>
      <c r="O76" s="39">
        <f t="shared" si="37"/>
        <v>5</v>
      </c>
      <c r="P76" s="37">
        <f t="shared" ca="1" si="15"/>
        <v>0</v>
      </c>
      <c r="Q76" s="39">
        <f t="shared" ca="1" si="28"/>
        <v>0</v>
      </c>
      <c r="R76" s="39">
        <f t="shared" si="29"/>
        <v>2</v>
      </c>
      <c r="S76" s="37">
        <f t="shared" ca="1" si="16"/>
        <v>0</v>
      </c>
      <c r="T76" s="39">
        <f t="shared" ca="1" si="30"/>
        <v>0</v>
      </c>
      <c r="U76" s="39">
        <f t="shared" si="31"/>
        <v>1</v>
      </c>
      <c r="V76" s="37">
        <f t="shared" ca="1" si="32"/>
        <v>0</v>
      </c>
      <c r="W76" s="39">
        <f t="shared" ca="1" si="33"/>
        <v>0</v>
      </c>
      <c r="X76" s="39">
        <f t="shared" si="34"/>
        <v>2</v>
      </c>
    </row>
    <row r="77" spans="1:24" ht="14" x14ac:dyDescent="0.3">
      <c r="A77" s="293">
        <v>92</v>
      </c>
      <c r="B77" s="293" t="s">
        <v>1057</v>
      </c>
      <c r="C77" s="294" t="s">
        <v>1059</v>
      </c>
      <c r="D77" s="294" t="s">
        <v>187</v>
      </c>
      <c r="E77" s="294">
        <v>1</v>
      </c>
      <c r="F77" s="250">
        <f ca="1">VLOOKUP($D77,Data!$C:$I,7,FALSE)</f>
        <v>0</v>
      </c>
      <c r="G77" s="296" t="str">
        <f t="shared" si="26"/>
        <v>ID.RA-21</v>
      </c>
      <c r="H77" s="296" t="str">
        <f t="shared" ca="1" si="27"/>
        <v>ID.RA-210</v>
      </c>
      <c r="K77" s="249"/>
      <c r="L77" s="36" t="s">
        <v>1210</v>
      </c>
      <c r="M77" s="37">
        <f t="shared" ca="1" si="35"/>
        <v>0</v>
      </c>
      <c r="N77" s="39">
        <f t="shared" ca="1" si="36"/>
        <v>0</v>
      </c>
      <c r="O77" s="39">
        <f t="shared" si="37"/>
        <v>5</v>
      </c>
      <c r="P77" s="37">
        <f t="shared" ca="1" si="15"/>
        <v>0</v>
      </c>
      <c r="Q77" s="39">
        <f t="shared" ca="1" si="28"/>
        <v>0</v>
      </c>
      <c r="R77" s="39">
        <f t="shared" si="29"/>
        <v>2</v>
      </c>
      <c r="S77" s="37">
        <f t="shared" ca="1" si="16"/>
        <v>0</v>
      </c>
      <c r="T77" s="39">
        <f t="shared" ca="1" si="30"/>
        <v>0</v>
      </c>
      <c r="U77" s="39">
        <f t="shared" si="31"/>
        <v>1</v>
      </c>
      <c r="V77" s="37">
        <f t="shared" ca="1" si="32"/>
        <v>0</v>
      </c>
      <c r="W77" s="39">
        <f t="shared" ca="1" si="33"/>
        <v>0</v>
      </c>
      <c r="X77" s="39">
        <f t="shared" si="34"/>
        <v>2</v>
      </c>
    </row>
    <row r="78" spans="1:24" ht="14" x14ac:dyDescent="0.3">
      <c r="A78" s="293">
        <v>93</v>
      </c>
      <c r="B78" s="293" t="s">
        <v>1057</v>
      </c>
      <c r="C78" s="294" t="s">
        <v>1049</v>
      </c>
      <c r="D78" s="294" t="s">
        <v>200</v>
      </c>
      <c r="E78" s="294">
        <v>1</v>
      </c>
      <c r="F78" s="250">
        <f ca="1">VLOOKUP($D78,Data!$C:$I,7,FALSE)</f>
        <v>0</v>
      </c>
      <c r="G78" s="296" t="str">
        <f t="shared" si="26"/>
        <v>ID.RA-21</v>
      </c>
      <c r="H78" s="296" t="str">
        <f t="shared" ca="1" si="27"/>
        <v>ID.RA-210</v>
      </c>
      <c r="K78" s="249"/>
      <c r="L78" s="36" t="s">
        <v>1212</v>
      </c>
      <c r="M78" s="37">
        <f t="shared" ca="1" si="35"/>
        <v>0</v>
      </c>
      <c r="N78" s="39">
        <f t="shared" ca="1" si="36"/>
        <v>0</v>
      </c>
      <c r="O78" s="39">
        <f t="shared" si="37"/>
        <v>7</v>
      </c>
      <c r="P78" s="37">
        <f t="shared" ref="P78:P109" ca="1" si="38">IF(R78=0,0,Q78/R78)</f>
        <v>0</v>
      </c>
      <c r="Q78" s="39">
        <f t="shared" ca="1" si="28"/>
        <v>0</v>
      </c>
      <c r="R78" s="39">
        <f t="shared" si="29"/>
        <v>2</v>
      </c>
      <c r="S78" s="37">
        <f t="shared" ref="S78:S109" ca="1" si="39">IF(U78=0,0,T78/U78)</f>
        <v>0</v>
      </c>
      <c r="T78" s="39">
        <f t="shared" ca="1" si="30"/>
        <v>0</v>
      </c>
      <c r="U78" s="39">
        <f t="shared" si="31"/>
        <v>2</v>
      </c>
      <c r="V78" s="37">
        <f t="shared" ca="1" si="32"/>
        <v>0</v>
      </c>
      <c r="W78" s="39">
        <f t="shared" ca="1" si="33"/>
        <v>0</v>
      </c>
      <c r="X78" s="39">
        <f t="shared" si="34"/>
        <v>3</v>
      </c>
    </row>
    <row r="79" spans="1:24" ht="14" x14ac:dyDescent="0.3">
      <c r="A79" s="293">
        <v>94</v>
      </c>
      <c r="B79" s="293" t="s">
        <v>1057</v>
      </c>
      <c r="C79" s="294" t="s">
        <v>1050</v>
      </c>
      <c r="D79" s="294" t="s">
        <v>201</v>
      </c>
      <c r="E79" s="294">
        <v>1</v>
      </c>
      <c r="F79" s="250">
        <f ca="1">VLOOKUP($D79,Data!$C:$I,7,FALSE)</f>
        <v>0</v>
      </c>
      <c r="G79" s="296" t="str">
        <f t="shared" si="26"/>
        <v>ID.RA-21</v>
      </c>
      <c r="H79" s="296" t="str">
        <f t="shared" ca="1" si="27"/>
        <v>ID.RA-210</v>
      </c>
      <c r="K79" s="249"/>
      <c r="L79" s="36" t="s">
        <v>1000</v>
      </c>
      <c r="M79" s="37">
        <f t="shared" ca="1" si="35"/>
        <v>0</v>
      </c>
      <c r="N79" s="39">
        <f t="shared" ca="1" si="36"/>
        <v>0</v>
      </c>
      <c r="O79" s="39">
        <f t="shared" si="37"/>
        <v>6</v>
      </c>
      <c r="P79" s="37">
        <f t="shared" ca="1" si="38"/>
        <v>0</v>
      </c>
      <c r="Q79" s="39">
        <f t="shared" ca="1" si="28"/>
        <v>0</v>
      </c>
      <c r="R79" s="39">
        <f t="shared" si="29"/>
        <v>2</v>
      </c>
      <c r="S79" s="37">
        <f t="shared" ca="1" si="39"/>
        <v>0</v>
      </c>
      <c r="T79" s="39">
        <f t="shared" ca="1" si="30"/>
        <v>0</v>
      </c>
      <c r="U79" s="39">
        <f t="shared" si="31"/>
        <v>1</v>
      </c>
      <c r="V79" s="37">
        <f t="shared" ca="1" si="32"/>
        <v>0</v>
      </c>
      <c r="W79" s="39">
        <f t="shared" ca="1" si="33"/>
        <v>0</v>
      </c>
      <c r="X79" s="39">
        <f t="shared" si="34"/>
        <v>3</v>
      </c>
    </row>
    <row r="80" spans="1:24" ht="14" x14ac:dyDescent="0.3">
      <c r="A80" s="293">
        <v>95</v>
      </c>
      <c r="B80" s="293" t="s">
        <v>1057</v>
      </c>
      <c r="C80" s="294" t="s">
        <v>1051</v>
      </c>
      <c r="D80" s="294" t="s">
        <v>204</v>
      </c>
      <c r="E80" s="294">
        <v>2</v>
      </c>
      <c r="F80" s="250">
        <f ca="1">VLOOKUP($D80,Data!$C:$I,7,FALSE)</f>
        <v>0</v>
      </c>
      <c r="G80" s="296" t="str">
        <f t="shared" si="26"/>
        <v>ID.RA-22</v>
      </c>
      <c r="H80" s="296" t="str">
        <f t="shared" ca="1" si="27"/>
        <v>ID.RA-220</v>
      </c>
      <c r="K80" s="249"/>
      <c r="L80" s="36" t="s">
        <v>1001</v>
      </c>
      <c r="M80" s="37">
        <f t="shared" ca="1" si="35"/>
        <v>0</v>
      </c>
      <c r="N80" s="39">
        <f t="shared" ca="1" si="36"/>
        <v>0</v>
      </c>
      <c r="O80" s="39">
        <f t="shared" si="37"/>
        <v>6</v>
      </c>
      <c r="P80" s="37">
        <f t="shared" ca="1" si="38"/>
        <v>0</v>
      </c>
      <c r="Q80" s="39">
        <f t="shared" ca="1" si="28"/>
        <v>0</v>
      </c>
      <c r="R80" s="39">
        <f t="shared" si="29"/>
        <v>3</v>
      </c>
      <c r="S80" s="37">
        <f t="shared" ca="1" si="39"/>
        <v>0</v>
      </c>
      <c r="T80" s="39">
        <f t="shared" ca="1" si="30"/>
        <v>0</v>
      </c>
      <c r="U80" s="39">
        <f t="shared" si="31"/>
        <v>1</v>
      </c>
      <c r="V80" s="37">
        <f t="shared" ca="1" si="32"/>
        <v>0</v>
      </c>
      <c r="W80" s="39">
        <f t="shared" ca="1" si="33"/>
        <v>0</v>
      </c>
      <c r="X80" s="39">
        <f t="shared" si="34"/>
        <v>2</v>
      </c>
    </row>
    <row r="81" spans="1:24" ht="14" x14ac:dyDescent="0.3">
      <c r="A81" s="293">
        <v>96</v>
      </c>
      <c r="B81" s="293" t="s">
        <v>1060</v>
      </c>
      <c r="C81" s="294" t="s">
        <v>1058</v>
      </c>
      <c r="D81" s="294" t="s">
        <v>186</v>
      </c>
      <c r="E81" s="294">
        <v>1</v>
      </c>
      <c r="F81" s="250">
        <f ca="1">VLOOKUP($D81,Data!$C:$I,7,FALSE)</f>
        <v>0</v>
      </c>
      <c r="G81" s="296" t="str">
        <f t="shared" si="26"/>
        <v>ID.RA-31</v>
      </c>
      <c r="H81" s="296" t="str">
        <f t="shared" ca="1" si="27"/>
        <v>ID.RA-310</v>
      </c>
      <c r="K81" s="249"/>
      <c r="L81" s="36" t="s">
        <v>1214</v>
      </c>
      <c r="M81" s="37">
        <f t="shared" ca="1" si="35"/>
        <v>0</v>
      </c>
      <c r="N81" s="39">
        <f t="shared" ca="1" si="36"/>
        <v>0</v>
      </c>
      <c r="O81" s="39">
        <f t="shared" si="37"/>
        <v>8</v>
      </c>
      <c r="P81" s="37">
        <f t="shared" ca="1" si="38"/>
        <v>0</v>
      </c>
      <c r="Q81" s="39">
        <f t="shared" ca="1" si="28"/>
        <v>0</v>
      </c>
      <c r="R81" s="39">
        <f t="shared" si="29"/>
        <v>2</v>
      </c>
      <c r="S81" s="37">
        <f t="shared" ca="1" si="39"/>
        <v>0</v>
      </c>
      <c r="T81" s="39">
        <f t="shared" ca="1" si="30"/>
        <v>0</v>
      </c>
      <c r="U81" s="39">
        <f t="shared" si="31"/>
        <v>3</v>
      </c>
      <c r="V81" s="37">
        <f t="shared" ca="1" si="32"/>
        <v>0</v>
      </c>
      <c r="W81" s="39">
        <f t="shared" ca="1" si="33"/>
        <v>0</v>
      </c>
      <c r="X81" s="39">
        <f t="shared" si="34"/>
        <v>3</v>
      </c>
    </row>
    <row r="82" spans="1:24" ht="14" x14ac:dyDescent="0.3">
      <c r="A82" s="293">
        <v>97</v>
      </c>
      <c r="B82" s="293" t="s">
        <v>1060</v>
      </c>
      <c r="C82" s="294" t="s">
        <v>1059</v>
      </c>
      <c r="D82" s="294" t="s">
        <v>187</v>
      </c>
      <c r="E82" s="294">
        <v>1</v>
      </c>
      <c r="F82" s="250">
        <f ca="1">VLOOKUP($D82,Data!$C:$I,7,FALSE)</f>
        <v>0</v>
      </c>
      <c r="G82" s="296" t="str">
        <f t="shared" si="26"/>
        <v>ID.RA-31</v>
      </c>
      <c r="H82" s="296" t="str">
        <f t="shared" ca="1" si="27"/>
        <v>ID.RA-310</v>
      </c>
      <c r="K82" s="249"/>
      <c r="L82" s="36" t="s">
        <v>1215</v>
      </c>
      <c r="M82" s="37">
        <f t="shared" ca="1" si="35"/>
        <v>0</v>
      </c>
      <c r="N82" s="39">
        <f t="shared" ca="1" si="36"/>
        <v>0</v>
      </c>
      <c r="O82" s="39">
        <f t="shared" si="37"/>
        <v>4</v>
      </c>
      <c r="P82" s="37">
        <f t="shared" ca="1" si="38"/>
        <v>0</v>
      </c>
      <c r="Q82" s="39">
        <f t="shared" ca="1" si="28"/>
        <v>0</v>
      </c>
      <c r="R82" s="39">
        <f t="shared" si="29"/>
        <v>1</v>
      </c>
      <c r="S82" s="37">
        <f t="shared" ca="1" si="39"/>
        <v>0</v>
      </c>
      <c r="T82" s="39">
        <f t="shared" ca="1" si="30"/>
        <v>0</v>
      </c>
      <c r="U82" s="39">
        <f t="shared" si="31"/>
        <v>1</v>
      </c>
      <c r="V82" s="37">
        <f t="shared" ca="1" si="32"/>
        <v>0</v>
      </c>
      <c r="W82" s="39">
        <f t="shared" ca="1" si="33"/>
        <v>0</v>
      </c>
      <c r="X82" s="39">
        <f t="shared" si="34"/>
        <v>2</v>
      </c>
    </row>
    <row r="83" spans="1:24" ht="14" x14ac:dyDescent="0.3">
      <c r="A83" s="293">
        <v>98</v>
      </c>
      <c r="B83" s="293" t="s">
        <v>1060</v>
      </c>
      <c r="C83" s="294" t="s">
        <v>1061</v>
      </c>
      <c r="D83" s="294" t="s">
        <v>189</v>
      </c>
      <c r="E83" s="294">
        <v>2</v>
      </c>
      <c r="F83" s="250">
        <f ca="1">VLOOKUP($D83,Data!$C:$I,7,FALSE)</f>
        <v>0</v>
      </c>
      <c r="G83" s="296" t="str">
        <f t="shared" si="26"/>
        <v>ID.RA-32</v>
      </c>
      <c r="H83" s="296" t="str">
        <f t="shared" ca="1" si="27"/>
        <v>ID.RA-320</v>
      </c>
      <c r="K83" s="249" t="s">
        <v>1266</v>
      </c>
      <c r="L83" s="36" t="s">
        <v>1002</v>
      </c>
      <c r="M83" s="37">
        <f t="shared" ca="1" si="35"/>
        <v>0</v>
      </c>
      <c r="N83" s="39">
        <f t="shared" ca="1" si="36"/>
        <v>0</v>
      </c>
      <c r="O83" s="39">
        <f t="shared" si="37"/>
        <v>2</v>
      </c>
      <c r="P83" s="37">
        <f t="shared" ca="1" si="38"/>
        <v>0</v>
      </c>
      <c r="Q83" s="39">
        <f t="shared" ca="1" si="28"/>
        <v>0</v>
      </c>
      <c r="R83" s="39">
        <f t="shared" si="29"/>
        <v>1</v>
      </c>
      <c r="S83" s="37">
        <f t="shared" ca="1" si="39"/>
        <v>0</v>
      </c>
      <c r="T83" s="39">
        <f t="shared" ca="1" si="30"/>
        <v>0</v>
      </c>
      <c r="U83" s="39">
        <f t="shared" si="31"/>
        <v>1</v>
      </c>
      <c r="V83" s="37">
        <f t="shared" si="32"/>
        <v>0</v>
      </c>
      <c r="W83" s="39">
        <f t="shared" ca="1" si="33"/>
        <v>0</v>
      </c>
      <c r="X83" s="39">
        <f t="shared" si="34"/>
        <v>0</v>
      </c>
    </row>
    <row r="84" spans="1:24" ht="14" x14ac:dyDescent="0.3">
      <c r="A84" s="293">
        <v>99</v>
      </c>
      <c r="B84" s="293" t="s">
        <v>1060</v>
      </c>
      <c r="C84" s="294" t="s">
        <v>1062</v>
      </c>
      <c r="D84" s="294" t="s">
        <v>190</v>
      </c>
      <c r="E84" s="294">
        <v>2</v>
      </c>
      <c r="F84" s="250">
        <f ca="1">VLOOKUP($D84,Data!$C:$I,7,FALSE)</f>
        <v>0</v>
      </c>
      <c r="G84" s="296" t="str">
        <f t="shared" si="26"/>
        <v>ID.RA-32</v>
      </c>
      <c r="H84" s="296" t="str">
        <f t="shared" ca="1" si="27"/>
        <v>ID.RA-320</v>
      </c>
      <c r="K84" s="249"/>
      <c r="L84" s="36" t="s">
        <v>1216</v>
      </c>
      <c r="M84" s="37">
        <f t="shared" ca="1" si="35"/>
        <v>0</v>
      </c>
      <c r="N84" s="39">
        <f t="shared" ca="1" si="36"/>
        <v>0</v>
      </c>
      <c r="O84" s="39">
        <f t="shared" si="37"/>
        <v>7</v>
      </c>
      <c r="P84" s="37">
        <f t="shared" si="38"/>
        <v>0</v>
      </c>
      <c r="Q84" s="39">
        <f t="shared" ca="1" si="28"/>
        <v>0</v>
      </c>
      <c r="R84" s="39">
        <f t="shared" si="29"/>
        <v>0</v>
      </c>
      <c r="S84" s="37">
        <f t="shared" ca="1" si="39"/>
        <v>0</v>
      </c>
      <c r="T84" s="39">
        <f t="shared" ca="1" si="30"/>
        <v>0</v>
      </c>
      <c r="U84" s="39">
        <f t="shared" si="31"/>
        <v>5</v>
      </c>
      <c r="V84" s="37">
        <f t="shared" ca="1" si="32"/>
        <v>0</v>
      </c>
      <c r="W84" s="39">
        <f t="shared" ca="1" si="33"/>
        <v>0</v>
      </c>
      <c r="X84" s="39">
        <f t="shared" si="34"/>
        <v>2</v>
      </c>
    </row>
    <row r="85" spans="1:24" ht="14" x14ac:dyDescent="0.3">
      <c r="A85" s="293">
        <v>100</v>
      </c>
      <c r="B85" s="293" t="s">
        <v>1060</v>
      </c>
      <c r="C85" s="294" t="s">
        <v>1054</v>
      </c>
      <c r="D85" s="294" t="s">
        <v>48</v>
      </c>
      <c r="E85" s="294">
        <v>2</v>
      </c>
      <c r="F85" s="250">
        <f ca="1">VLOOKUP($D85,Data!$C:$I,7,FALSE)</f>
        <v>0</v>
      </c>
      <c r="G85" s="296" t="str">
        <f t="shared" si="26"/>
        <v>ID.RA-32</v>
      </c>
      <c r="H85" s="296" t="str">
        <f t="shared" ca="1" si="27"/>
        <v>ID.RA-320</v>
      </c>
      <c r="K85" s="249"/>
      <c r="L85" s="36" t="s">
        <v>1219</v>
      </c>
      <c r="M85" s="37">
        <f t="shared" ca="1" si="35"/>
        <v>0</v>
      </c>
      <c r="N85" s="39">
        <f t="shared" ca="1" si="36"/>
        <v>0</v>
      </c>
      <c r="O85" s="39">
        <f t="shared" si="37"/>
        <v>2</v>
      </c>
      <c r="P85" s="37">
        <f t="shared" si="38"/>
        <v>0</v>
      </c>
      <c r="Q85" s="39">
        <f t="shared" ca="1" si="28"/>
        <v>0</v>
      </c>
      <c r="R85" s="39">
        <f t="shared" si="29"/>
        <v>0</v>
      </c>
      <c r="S85" s="37">
        <f t="shared" ca="1" si="39"/>
        <v>0</v>
      </c>
      <c r="T85" s="39">
        <f t="shared" ca="1" si="30"/>
        <v>0</v>
      </c>
      <c r="U85" s="39">
        <f t="shared" si="31"/>
        <v>1</v>
      </c>
      <c r="V85" s="37">
        <f t="shared" ca="1" si="32"/>
        <v>0</v>
      </c>
      <c r="W85" s="39">
        <f t="shared" ca="1" si="33"/>
        <v>0</v>
      </c>
      <c r="X85" s="39">
        <f t="shared" si="34"/>
        <v>1</v>
      </c>
    </row>
    <row r="86" spans="1:24" ht="14" x14ac:dyDescent="0.3">
      <c r="A86" s="293">
        <v>100</v>
      </c>
      <c r="B86" s="293" t="s">
        <v>1060</v>
      </c>
      <c r="C86" s="294" t="s">
        <v>1054</v>
      </c>
      <c r="D86" s="294" t="s">
        <v>61</v>
      </c>
      <c r="E86" s="295">
        <v>3</v>
      </c>
      <c r="F86" s="250">
        <f ca="1">VLOOKUP($D86,Data!$C:$I,7,FALSE)</f>
        <v>0</v>
      </c>
      <c r="G86" s="296" t="str">
        <f t="shared" si="26"/>
        <v>ID.RA-33</v>
      </c>
      <c r="H86" s="296" t="str">
        <f t="shared" ca="1" si="27"/>
        <v>ID.RA-330</v>
      </c>
      <c r="K86" s="249"/>
      <c r="L86" s="36" t="s">
        <v>1220</v>
      </c>
      <c r="M86" s="37">
        <f t="shared" ca="1" si="35"/>
        <v>0</v>
      </c>
      <c r="N86" s="39">
        <f t="shared" ca="1" si="36"/>
        <v>0</v>
      </c>
      <c r="O86" s="39">
        <f t="shared" si="37"/>
        <v>10</v>
      </c>
      <c r="P86" s="37">
        <f t="shared" ca="1" si="38"/>
        <v>0</v>
      </c>
      <c r="Q86" s="39">
        <f t="shared" ca="1" si="28"/>
        <v>0</v>
      </c>
      <c r="R86" s="39">
        <f t="shared" si="29"/>
        <v>3</v>
      </c>
      <c r="S86" s="37">
        <f t="shared" ca="1" si="39"/>
        <v>0</v>
      </c>
      <c r="T86" s="39">
        <f t="shared" ca="1" si="30"/>
        <v>0</v>
      </c>
      <c r="U86" s="39">
        <f t="shared" si="31"/>
        <v>2</v>
      </c>
      <c r="V86" s="37">
        <f t="shared" ca="1" si="32"/>
        <v>0</v>
      </c>
      <c r="W86" s="39">
        <f t="shared" ca="1" si="33"/>
        <v>0</v>
      </c>
      <c r="X86" s="39">
        <f t="shared" si="34"/>
        <v>5</v>
      </c>
    </row>
    <row r="87" spans="1:24" ht="14" x14ac:dyDescent="0.3">
      <c r="A87" s="293">
        <v>102</v>
      </c>
      <c r="B87" s="293" t="s">
        <v>1063</v>
      </c>
      <c r="C87" s="294" t="s">
        <v>1061</v>
      </c>
      <c r="D87" s="294" t="s">
        <v>189</v>
      </c>
      <c r="E87" s="294">
        <v>2</v>
      </c>
      <c r="F87" s="250">
        <f ca="1">VLOOKUP($D87,Data!$C:$I,7,FALSE)</f>
        <v>0</v>
      </c>
      <c r="G87" s="296" t="str">
        <f t="shared" si="26"/>
        <v>ID.RA-42</v>
      </c>
      <c r="H87" s="296" t="str">
        <f t="shared" ca="1" si="27"/>
        <v>ID.RA-420</v>
      </c>
      <c r="K87" s="249"/>
      <c r="L87" s="36" t="s">
        <v>1223</v>
      </c>
      <c r="M87" s="37">
        <f t="shared" ca="1" si="35"/>
        <v>0</v>
      </c>
      <c r="N87" s="39">
        <f t="shared" ca="1" si="36"/>
        <v>0</v>
      </c>
      <c r="O87" s="39">
        <f t="shared" si="37"/>
        <v>1</v>
      </c>
      <c r="P87" s="37">
        <f t="shared" si="38"/>
        <v>0</v>
      </c>
      <c r="Q87" s="39">
        <f t="shared" ca="1" si="28"/>
        <v>0</v>
      </c>
      <c r="R87" s="39">
        <f t="shared" si="29"/>
        <v>0</v>
      </c>
      <c r="S87" s="37">
        <f t="shared" si="39"/>
        <v>0</v>
      </c>
      <c r="T87" s="39">
        <f t="shared" ca="1" si="30"/>
        <v>0</v>
      </c>
      <c r="U87" s="39">
        <f t="shared" si="31"/>
        <v>0</v>
      </c>
      <c r="V87" s="37">
        <f t="shared" ca="1" si="32"/>
        <v>0</v>
      </c>
      <c r="W87" s="39">
        <f t="shared" ca="1" si="33"/>
        <v>0</v>
      </c>
      <c r="X87" s="39">
        <f t="shared" si="34"/>
        <v>1</v>
      </c>
    </row>
    <row r="88" spans="1:24" ht="14" x14ac:dyDescent="0.3">
      <c r="A88" s="293">
        <v>103</v>
      </c>
      <c r="B88" s="293" t="s">
        <v>1063</v>
      </c>
      <c r="C88" s="294" t="s">
        <v>1064</v>
      </c>
      <c r="D88" s="294" t="s">
        <v>191</v>
      </c>
      <c r="E88" s="294">
        <v>2</v>
      </c>
      <c r="F88" s="250">
        <f ca="1">VLOOKUP($D88,Data!$C:$I,7,FALSE)</f>
        <v>0</v>
      </c>
      <c r="G88" s="296" t="str">
        <f t="shared" si="26"/>
        <v>ID.RA-42</v>
      </c>
      <c r="H88" s="296" t="str">
        <f t="shared" ca="1" si="27"/>
        <v>ID.RA-420</v>
      </c>
      <c r="K88" s="249" t="s">
        <v>1267</v>
      </c>
      <c r="L88" s="36" t="s">
        <v>1224</v>
      </c>
      <c r="M88" s="37">
        <f t="shared" ca="1" si="35"/>
        <v>0</v>
      </c>
      <c r="N88" s="39">
        <f t="shared" ca="1" si="36"/>
        <v>0</v>
      </c>
      <c r="O88" s="39">
        <f t="shared" si="37"/>
        <v>1</v>
      </c>
      <c r="P88" s="37">
        <f t="shared" si="38"/>
        <v>0</v>
      </c>
      <c r="Q88" s="39">
        <f t="shared" ca="1" si="28"/>
        <v>0</v>
      </c>
      <c r="R88" s="39">
        <f t="shared" si="29"/>
        <v>0</v>
      </c>
      <c r="S88" s="37">
        <f t="shared" ca="1" si="39"/>
        <v>0</v>
      </c>
      <c r="T88" s="39">
        <f t="shared" ca="1" si="30"/>
        <v>0</v>
      </c>
      <c r="U88" s="39">
        <f t="shared" si="31"/>
        <v>1</v>
      </c>
      <c r="V88" s="37">
        <f t="shared" si="32"/>
        <v>0</v>
      </c>
      <c r="W88" s="39">
        <f t="shared" ca="1" si="33"/>
        <v>0</v>
      </c>
      <c r="X88" s="39">
        <f t="shared" si="34"/>
        <v>0</v>
      </c>
    </row>
    <row r="89" spans="1:24" ht="14" x14ac:dyDescent="0.3">
      <c r="A89" s="293">
        <v>104</v>
      </c>
      <c r="B89" s="293" t="s">
        <v>1063</v>
      </c>
      <c r="C89" s="294" t="s">
        <v>1017</v>
      </c>
      <c r="D89" s="294" t="s">
        <v>65</v>
      </c>
      <c r="E89" s="294">
        <v>2</v>
      </c>
      <c r="F89" s="250">
        <f ca="1">VLOOKUP($D89,Data!$C:$I,7,FALSE)</f>
        <v>0</v>
      </c>
      <c r="G89" s="296" t="str">
        <f t="shared" si="26"/>
        <v>ID.RA-42</v>
      </c>
      <c r="H89" s="296" t="str">
        <f t="shared" ca="1" si="27"/>
        <v>ID.RA-420</v>
      </c>
      <c r="K89" s="249" t="s">
        <v>1268</v>
      </c>
      <c r="L89" s="36" t="s">
        <v>1226</v>
      </c>
      <c r="M89" s="37">
        <f t="shared" ca="1" si="35"/>
        <v>0</v>
      </c>
      <c r="N89" s="39">
        <f t="shared" ca="1" si="36"/>
        <v>0</v>
      </c>
      <c r="O89" s="39">
        <f t="shared" si="37"/>
        <v>1</v>
      </c>
      <c r="P89" s="37">
        <f t="shared" ca="1" si="38"/>
        <v>0</v>
      </c>
      <c r="Q89" s="39">
        <f t="shared" ca="1" si="28"/>
        <v>0</v>
      </c>
      <c r="R89" s="39">
        <f t="shared" si="29"/>
        <v>1</v>
      </c>
      <c r="S89" s="37">
        <f t="shared" si="39"/>
        <v>0</v>
      </c>
      <c r="T89" s="39">
        <f t="shared" ca="1" si="30"/>
        <v>0</v>
      </c>
      <c r="U89" s="39">
        <f t="shared" si="31"/>
        <v>0</v>
      </c>
      <c r="V89" s="37">
        <f t="shared" si="32"/>
        <v>0</v>
      </c>
      <c r="W89" s="39">
        <f t="shared" ca="1" si="33"/>
        <v>0</v>
      </c>
      <c r="X89" s="39">
        <f t="shared" si="34"/>
        <v>0</v>
      </c>
    </row>
    <row r="90" spans="1:24" ht="14" x14ac:dyDescent="0.3">
      <c r="A90" s="293">
        <v>106</v>
      </c>
      <c r="B90" s="293" t="s">
        <v>1065</v>
      </c>
      <c r="C90" s="294" t="s">
        <v>1017</v>
      </c>
      <c r="D90" s="294" t="s">
        <v>65</v>
      </c>
      <c r="E90" s="294">
        <v>2</v>
      </c>
      <c r="F90" s="250">
        <f ca="1">VLOOKUP($D90,Data!$C:$I,7,FALSE)</f>
        <v>0</v>
      </c>
      <c r="G90" s="296" t="str">
        <f t="shared" si="26"/>
        <v>ID.RA-52</v>
      </c>
      <c r="H90" s="296" t="str">
        <f t="shared" ca="1" si="27"/>
        <v>ID.RA-520</v>
      </c>
      <c r="K90" s="249"/>
      <c r="L90" s="36" t="s">
        <v>1228</v>
      </c>
      <c r="M90" s="37">
        <f t="shared" ca="1" si="35"/>
        <v>0</v>
      </c>
      <c r="N90" s="39">
        <f t="shared" ca="1" si="36"/>
        <v>0</v>
      </c>
      <c r="O90" s="39">
        <f t="shared" si="37"/>
        <v>4</v>
      </c>
      <c r="P90" s="37">
        <f t="shared" ca="1" si="38"/>
        <v>0</v>
      </c>
      <c r="Q90" s="39">
        <f t="shared" ca="1" si="28"/>
        <v>0</v>
      </c>
      <c r="R90" s="39">
        <f t="shared" si="29"/>
        <v>2</v>
      </c>
      <c r="S90" s="37">
        <f t="shared" ca="1" si="39"/>
        <v>0</v>
      </c>
      <c r="T90" s="39">
        <f t="shared" ca="1" si="30"/>
        <v>0</v>
      </c>
      <c r="U90" s="39">
        <f t="shared" si="31"/>
        <v>2</v>
      </c>
      <c r="V90" s="37">
        <f t="shared" si="32"/>
        <v>0</v>
      </c>
      <c r="W90" s="39">
        <f t="shared" ca="1" si="33"/>
        <v>0</v>
      </c>
      <c r="X90" s="39">
        <f t="shared" si="34"/>
        <v>0</v>
      </c>
    </row>
    <row r="91" spans="1:24" ht="14" x14ac:dyDescent="0.3">
      <c r="A91" s="293">
        <v>107</v>
      </c>
      <c r="B91" s="293" t="s">
        <v>1065</v>
      </c>
      <c r="C91" s="294" t="s">
        <v>1054</v>
      </c>
      <c r="D91" s="294" t="s">
        <v>48</v>
      </c>
      <c r="E91" s="294">
        <v>2</v>
      </c>
      <c r="F91" s="250">
        <f ca="1">VLOOKUP($D91,Data!$C:$I,7,FALSE)</f>
        <v>0</v>
      </c>
      <c r="G91" s="296" t="str">
        <f t="shared" si="26"/>
        <v>ID.RA-52</v>
      </c>
      <c r="H91" s="296" t="str">
        <f t="shared" ca="1" si="27"/>
        <v>ID.RA-520</v>
      </c>
      <c r="K91" s="249"/>
      <c r="L91" s="36" t="s">
        <v>1229</v>
      </c>
      <c r="M91" s="37">
        <f t="shared" ca="1" si="35"/>
        <v>0</v>
      </c>
      <c r="N91" s="39">
        <f t="shared" ca="1" si="36"/>
        <v>0</v>
      </c>
      <c r="O91" s="39">
        <f t="shared" si="37"/>
        <v>11</v>
      </c>
      <c r="P91" s="37">
        <f t="shared" si="38"/>
        <v>0</v>
      </c>
      <c r="Q91" s="39">
        <f t="shared" ca="1" si="28"/>
        <v>0</v>
      </c>
      <c r="R91" s="39">
        <f t="shared" si="29"/>
        <v>0</v>
      </c>
      <c r="S91" s="37">
        <f t="shared" ca="1" si="39"/>
        <v>0</v>
      </c>
      <c r="T91" s="39">
        <f t="shared" ca="1" si="30"/>
        <v>0</v>
      </c>
      <c r="U91" s="39">
        <f t="shared" si="31"/>
        <v>5</v>
      </c>
      <c r="V91" s="37">
        <f t="shared" ca="1" si="32"/>
        <v>0</v>
      </c>
      <c r="W91" s="39">
        <f t="shared" ca="1" si="33"/>
        <v>0</v>
      </c>
      <c r="X91" s="39">
        <f t="shared" si="34"/>
        <v>6</v>
      </c>
    </row>
    <row r="92" spans="1:24" ht="14" x14ac:dyDescent="0.3">
      <c r="A92" s="293">
        <v>107</v>
      </c>
      <c r="B92" s="293" t="s">
        <v>1065</v>
      </c>
      <c r="C92" s="294" t="s">
        <v>1054</v>
      </c>
      <c r="D92" s="294" t="s">
        <v>61</v>
      </c>
      <c r="E92" s="295">
        <v>3</v>
      </c>
      <c r="F92" s="250">
        <f ca="1">VLOOKUP($D92,Data!$C:$I,7,FALSE)</f>
        <v>0</v>
      </c>
      <c r="G92" s="296" t="str">
        <f t="shared" si="26"/>
        <v>ID.RA-53</v>
      </c>
      <c r="H92" s="296" t="str">
        <f t="shared" ca="1" si="27"/>
        <v>ID.RA-530</v>
      </c>
      <c r="K92" s="249"/>
      <c r="L92" s="36" t="s">
        <v>1231</v>
      </c>
      <c r="M92" s="37">
        <f t="shared" ca="1" si="35"/>
        <v>0</v>
      </c>
      <c r="N92" s="39">
        <f t="shared" ca="1" si="36"/>
        <v>0</v>
      </c>
      <c r="O92" s="39">
        <f t="shared" si="37"/>
        <v>3</v>
      </c>
      <c r="P92" s="37">
        <f t="shared" si="38"/>
        <v>0</v>
      </c>
      <c r="Q92" s="39">
        <f t="shared" ca="1" si="28"/>
        <v>0</v>
      </c>
      <c r="R92" s="39">
        <f t="shared" si="29"/>
        <v>0</v>
      </c>
      <c r="S92" s="37">
        <f t="shared" ca="1" si="39"/>
        <v>0</v>
      </c>
      <c r="T92" s="39">
        <f t="shared" ca="1" si="30"/>
        <v>0</v>
      </c>
      <c r="U92" s="39">
        <f t="shared" si="31"/>
        <v>3</v>
      </c>
      <c r="V92" s="37">
        <f t="shared" si="32"/>
        <v>0</v>
      </c>
      <c r="W92" s="39">
        <f t="shared" ca="1" si="33"/>
        <v>0</v>
      </c>
      <c r="X92" s="39">
        <f t="shared" si="34"/>
        <v>0</v>
      </c>
    </row>
    <row r="93" spans="1:24" ht="14" x14ac:dyDescent="0.3">
      <c r="A93" s="293">
        <v>109</v>
      </c>
      <c r="B93" s="293" t="s">
        <v>1066</v>
      </c>
      <c r="C93" s="294" t="s">
        <v>1067</v>
      </c>
      <c r="D93" s="294" t="s">
        <v>50</v>
      </c>
      <c r="E93" s="294">
        <v>2</v>
      </c>
      <c r="F93" s="250">
        <f ca="1">VLOOKUP($D93,Data!$C:$I,7,FALSE)</f>
        <v>0</v>
      </c>
      <c r="G93" s="296" t="str">
        <f t="shared" si="26"/>
        <v>ID.RA-62</v>
      </c>
      <c r="H93" s="296" t="str">
        <f t="shared" ca="1" si="27"/>
        <v>ID.RA-620</v>
      </c>
      <c r="K93" s="249"/>
      <c r="L93" s="36" t="s">
        <v>1232</v>
      </c>
      <c r="M93" s="37">
        <f t="shared" ca="1" si="35"/>
        <v>0</v>
      </c>
      <c r="N93" s="39">
        <f t="shared" ca="1" si="36"/>
        <v>0</v>
      </c>
      <c r="O93" s="39">
        <f t="shared" si="37"/>
        <v>7</v>
      </c>
      <c r="P93" s="37">
        <f t="shared" ca="1" si="38"/>
        <v>0</v>
      </c>
      <c r="Q93" s="39">
        <f t="shared" ca="1" si="28"/>
        <v>0</v>
      </c>
      <c r="R93" s="39">
        <f t="shared" si="29"/>
        <v>2</v>
      </c>
      <c r="S93" s="37">
        <f t="shared" ca="1" si="39"/>
        <v>0</v>
      </c>
      <c r="T93" s="39">
        <f t="shared" ca="1" si="30"/>
        <v>0</v>
      </c>
      <c r="U93" s="39">
        <f t="shared" si="31"/>
        <v>2</v>
      </c>
      <c r="V93" s="37">
        <f t="shared" ca="1" si="32"/>
        <v>0</v>
      </c>
      <c r="W93" s="39">
        <f t="shared" ca="1" si="33"/>
        <v>0</v>
      </c>
      <c r="X93" s="39">
        <f t="shared" si="34"/>
        <v>3</v>
      </c>
    </row>
    <row r="94" spans="1:24" ht="14" x14ac:dyDescent="0.3">
      <c r="A94" s="293">
        <v>110</v>
      </c>
      <c r="B94" s="293" t="s">
        <v>1066</v>
      </c>
      <c r="C94" s="294" t="s">
        <v>1061</v>
      </c>
      <c r="D94" s="294" t="s">
        <v>189</v>
      </c>
      <c r="E94" s="294">
        <v>2</v>
      </c>
      <c r="F94" s="250">
        <f ca="1">VLOOKUP($D94,Data!$C:$I,7,FALSE)</f>
        <v>0</v>
      </c>
      <c r="G94" s="296" t="str">
        <f t="shared" si="26"/>
        <v>ID.RA-62</v>
      </c>
      <c r="H94" s="296" t="str">
        <f t="shared" ca="1" si="27"/>
        <v>ID.RA-620</v>
      </c>
      <c r="K94" s="249" t="s">
        <v>1269</v>
      </c>
      <c r="L94" s="36" t="s">
        <v>1233</v>
      </c>
      <c r="M94" s="37">
        <f t="shared" ca="1" si="35"/>
        <v>0</v>
      </c>
      <c r="N94" s="39">
        <f t="shared" ca="1" si="36"/>
        <v>0</v>
      </c>
      <c r="O94" s="39">
        <f t="shared" si="37"/>
        <v>2</v>
      </c>
      <c r="P94" s="37">
        <f t="shared" si="38"/>
        <v>0</v>
      </c>
      <c r="Q94" s="39">
        <f t="shared" ca="1" si="28"/>
        <v>0</v>
      </c>
      <c r="R94" s="39">
        <f t="shared" si="29"/>
        <v>0</v>
      </c>
      <c r="S94" s="37">
        <f t="shared" ca="1" si="39"/>
        <v>0</v>
      </c>
      <c r="T94" s="39">
        <f t="shared" ca="1" si="30"/>
        <v>0</v>
      </c>
      <c r="U94" s="39">
        <f t="shared" si="31"/>
        <v>1</v>
      </c>
      <c r="V94" s="37">
        <f t="shared" ca="1" si="32"/>
        <v>0</v>
      </c>
      <c r="W94" s="39">
        <f t="shared" ca="1" si="33"/>
        <v>0</v>
      </c>
      <c r="X94" s="39">
        <f t="shared" si="34"/>
        <v>1</v>
      </c>
    </row>
    <row r="95" spans="1:24" ht="14" x14ac:dyDescent="0.3">
      <c r="A95" s="293">
        <v>111</v>
      </c>
      <c r="B95" s="293" t="s">
        <v>1066</v>
      </c>
      <c r="C95" s="294" t="s">
        <v>1017</v>
      </c>
      <c r="D95" s="294" t="s">
        <v>65</v>
      </c>
      <c r="E95" s="294">
        <v>2</v>
      </c>
      <c r="F95" s="250">
        <f ca="1">VLOOKUP($D95,Data!$C:$I,7,FALSE)</f>
        <v>0</v>
      </c>
      <c r="G95" s="296" t="str">
        <f t="shared" si="26"/>
        <v>ID.RA-62</v>
      </c>
      <c r="H95" s="296" t="str">
        <f t="shared" ca="1" si="27"/>
        <v>ID.RA-620</v>
      </c>
      <c r="K95" s="249"/>
      <c r="L95" s="36" t="s">
        <v>1234</v>
      </c>
      <c r="M95" s="37">
        <f t="shared" ca="1" si="35"/>
        <v>0</v>
      </c>
      <c r="N95" s="39">
        <f t="shared" ca="1" si="36"/>
        <v>0</v>
      </c>
      <c r="O95" s="39">
        <f t="shared" si="37"/>
        <v>5</v>
      </c>
      <c r="P95" s="37">
        <f t="shared" si="38"/>
        <v>0</v>
      </c>
      <c r="Q95" s="39">
        <f t="shared" ca="1" si="28"/>
        <v>0</v>
      </c>
      <c r="R95" s="39">
        <f t="shared" si="29"/>
        <v>0</v>
      </c>
      <c r="S95" s="37">
        <f t="shared" ca="1" si="39"/>
        <v>0</v>
      </c>
      <c r="T95" s="39">
        <f t="shared" ca="1" si="30"/>
        <v>0</v>
      </c>
      <c r="U95" s="39">
        <f t="shared" si="31"/>
        <v>3</v>
      </c>
      <c r="V95" s="37">
        <f t="shared" ca="1" si="32"/>
        <v>0</v>
      </c>
      <c r="W95" s="39">
        <f t="shared" ca="1" si="33"/>
        <v>0</v>
      </c>
      <c r="X95" s="39">
        <f t="shared" si="34"/>
        <v>2</v>
      </c>
    </row>
    <row r="96" spans="1:24" ht="14" x14ac:dyDescent="0.3">
      <c r="A96" s="293">
        <v>112</v>
      </c>
      <c r="B96" s="293" t="s">
        <v>1066</v>
      </c>
      <c r="C96" s="294" t="s">
        <v>1054</v>
      </c>
      <c r="D96" s="294" t="s">
        <v>48</v>
      </c>
      <c r="E96" s="294">
        <v>2</v>
      </c>
      <c r="F96" s="250">
        <f ca="1">VLOOKUP($D96,Data!$C:$I,7,FALSE)</f>
        <v>0</v>
      </c>
      <c r="G96" s="296" t="str">
        <f t="shared" si="26"/>
        <v>ID.RA-62</v>
      </c>
      <c r="H96" s="296" t="str">
        <f t="shared" ca="1" si="27"/>
        <v>ID.RA-620</v>
      </c>
      <c r="K96" s="249"/>
      <c r="L96" s="36" t="s">
        <v>1235</v>
      </c>
      <c r="M96" s="37">
        <f t="shared" ca="1" si="35"/>
        <v>0</v>
      </c>
      <c r="N96" s="39">
        <f t="shared" ca="1" si="36"/>
        <v>0</v>
      </c>
      <c r="O96" s="39">
        <f t="shared" si="37"/>
        <v>3</v>
      </c>
      <c r="P96" s="37">
        <f t="shared" si="38"/>
        <v>0</v>
      </c>
      <c r="Q96" s="39">
        <f t="shared" ca="1" si="28"/>
        <v>0</v>
      </c>
      <c r="R96" s="39">
        <f t="shared" si="29"/>
        <v>0</v>
      </c>
      <c r="S96" s="37">
        <f t="shared" ca="1" si="39"/>
        <v>0</v>
      </c>
      <c r="T96" s="39">
        <f t="shared" ca="1" si="30"/>
        <v>0</v>
      </c>
      <c r="U96" s="39">
        <f t="shared" si="31"/>
        <v>1</v>
      </c>
      <c r="V96" s="37">
        <f t="shared" ca="1" si="32"/>
        <v>0</v>
      </c>
      <c r="W96" s="39">
        <f t="shared" ca="1" si="33"/>
        <v>0</v>
      </c>
      <c r="X96" s="39">
        <f t="shared" si="34"/>
        <v>2</v>
      </c>
    </row>
    <row r="97" spans="1:24" ht="14" x14ac:dyDescent="0.3">
      <c r="A97" s="293">
        <v>112</v>
      </c>
      <c r="B97" s="293" t="s">
        <v>1066</v>
      </c>
      <c r="C97" s="294" t="s">
        <v>1054</v>
      </c>
      <c r="D97" s="294" t="s">
        <v>61</v>
      </c>
      <c r="E97" s="295">
        <v>3</v>
      </c>
      <c r="F97" s="250">
        <f ca="1">VLOOKUP($D97,Data!$C:$I,7,FALSE)</f>
        <v>0</v>
      </c>
      <c r="G97" s="296" t="str">
        <f t="shared" si="26"/>
        <v>ID.RA-63</v>
      </c>
      <c r="H97" s="296" t="str">
        <f t="shared" ca="1" si="27"/>
        <v>ID.RA-630</v>
      </c>
      <c r="K97" s="249"/>
      <c r="L97" s="36" t="s">
        <v>1236</v>
      </c>
      <c r="M97" s="37">
        <f t="shared" ca="1" si="35"/>
        <v>0</v>
      </c>
      <c r="N97" s="39">
        <f t="shared" ca="1" si="36"/>
        <v>0</v>
      </c>
      <c r="O97" s="39">
        <f t="shared" si="37"/>
        <v>4</v>
      </c>
      <c r="P97" s="37">
        <f t="shared" ca="1" si="38"/>
        <v>0</v>
      </c>
      <c r="Q97" s="39">
        <f t="shared" ca="1" si="28"/>
        <v>0</v>
      </c>
      <c r="R97" s="39">
        <f t="shared" si="29"/>
        <v>1</v>
      </c>
      <c r="S97" s="37">
        <f t="shared" ca="1" si="39"/>
        <v>0</v>
      </c>
      <c r="T97" s="39">
        <f t="shared" ca="1" si="30"/>
        <v>0</v>
      </c>
      <c r="U97" s="39">
        <f t="shared" si="31"/>
        <v>2</v>
      </c>
      <c r="V97" s="37">
        <f t="shared" ca="1" si="32"/>
        <v>0</v>
      </c>
      <c r="W97" s="39">
        <f t="shared" ca="1" si="33"/>
        <v>0</v>
      </c>
      <c r="X97" s="39">
        <f t="shared" si="34"/>
        <v>1</v>
      </c>
    </row>
    <row r="98" spans="1:24" ht="14" x14ac:dyDescent="0.3">
      <c r="A98" s="293">
        <v>114</v>
      </c>
      <c r="B98" s="293" t="s">
        <v>1068</v>
      </c>
      <c r="C98" s="294" t="s">
        <v>1044</v>
      </c>
      <c r="D98" s="294" t="s">
        <v>44</v>
      </c>
      <c r="E98" s="294">
        <v>1</v>
      </c>
      <c r="F98" s="250">
        <f ca="1">VLOOKUP($D98,Data!$C:$I,7,FALSE)</f>
        <v>0</v>
      </c>
      <c r="G98" s="296" t="str">
        <f t="shared" si="26"/>
        <v>ID.RM-11</v>
      </c>
      <c r="H98" s="296" t="str">
        <f t="shared" ca="1" si="27"/>
        <v>ID.RM-110</v>
      </c>
      <c r="K98" s="249"/>
      <c r="L98" s="36" t="s">
        <v>1237</v>
      </c>
      <c r="M98" s="37">
        <f t="shared" ca="1" si="35"/>
        <v>0</v>
      </c>
      <c r="N98" s="39">
        <f t="shared" ca="1" si="36"/>
        <v>0</v>
      </c>
      <c r="O98" s="39">
        <f t="shared" si="37"/>
        <v>11</v>
      </c>
      <c r="P98" s="37">
        <f t="shared" ca="1" si="38"/>
        <v>0</v>
      </c>
      <c r="Q98" s="39">
        <f t="shared" ref="Q98:Q109" ca="1" si="40">COUNTIF($H:$H,CONCATENATE($L98,P$1,1))</f>
        <v>0</v>
      </c>
      <c r="R98" s="39">
        <f t="shared" ref="R98:R109" si="41">COUNTIF($G:$G,CONCATENATE($L98,P$1))</f>
        <v>4</v>
      </c>
      <c r="S98" s="37">
        <f t="shared" ca="1" si="39"/>
        <v>0</v>
      </c>
      <c r="T98" s="39">
        <f t="shared" ref="T98:T109" ca="1" si="42">COUNTIF($H:$H,CONCATENATE($L98,S$1,1))</f>
        <v>0</v>
      </c>
      <c r="U98" s="39">
        <f t="shared" ref="U98:U109" si="43">COUNTIF($G:$G,CONCATENATE($L98,S$1))</f>
        <v>3</v>
      </c>
      <c r="V98" s="37">
        <f t="shared" ca="1" si="32"/>
        <v>0</v>
      </c>
      <c r="W98" s="39">
        <f t="shared" ref="W98:W109" ca="1" si="44">COUNTIF($H:$H,CONCATENATE($L98,V$1,1))</f>
        <v>0</v>
      </c>
      <c r="X98" s="39">
        <f t="shared" ref="X98:X109" si="45">COUNTIF($G:$G,CONCATENATE($L98,V$1))</f>
        <v>4</v>
      </c>
    </row>
    <row r="99" spans="1:24" ht="14" x14ac:dyDescent="0.3">
      <c r="A99" s="293">
        <v>115</v>
      </c>
      <c r="B99" s="293" t="s">
        <v>1068</v>
      </c>
      <c r="C99" s="294" t="s">
        <v>1045</v>
      </c>
      <c r="D99" s="294" t="s">
        <v>45</v>
      </c>
      <c r="E99" s="294">
        <v>1</v>
      </c>
      <c r="F99" s="250">
        <f ca="1">VLOOKUP($D99,Data!$C:$I,7,FALSE)</f>
        <v>0</v>
      </c>
      <c r="G99" s="296" t="str">
        <f t="shared" si="26"/>
        <v>ID.RM-11</v>
      </c>
      <c r="H99" s="296" t="str">
        <f t="shared" ca="1" si="27"/>
        <v>ID.RM-110</v>
      </c>
      <c r="K99" s="249" t="s">
        <v>1270</v>
      </c>
      <c r="L99" s="36" t="s">
        <v>1239</v>
      </c>
      <c r="M99" s="37">
        <f t="shared" ca="1" si="35"/>
        <v>0</v>
      </c>
      <c r="N99" s="39">
        <f t="shared" ca="1" si="36"/>
        <v>0</v>
      </c>
      <c r="O99" s="39">
        <f t="shared" si="37"/>
        <v>1</v>
      </c>
      <c r="P99" s="37">
        <f t="shared" ca="1" si="38"/>
        <v>0</v>
      </c>
      <c r="Q99" s="39">
        <f t="shared" ca="1" si="40"/>
        <v>0</v>
      </c>
      <c r="R99" s="39">
        <f t="shared" si="41"/>
        <v>1</v>
      </c>
      <c r="S99" s="37">
        <f t="shared" si="39"/>
        <v>0</v>
      </c>
      <c r="T99" s="39">
        <f t="shared" ca="1" si="42"/>
        <v>0</v>
      </c>
      <c r="U99" s="39">
        <f t="shared" si="43"/>
        <v>0</v>
      </c>
      <c r="V99" s="37">
        <f t="shared" si="32"/>
        <v>0</v>
      </c>
      <c r="W99" s="39">
        <f t="shared" ca="1" si="44"/>
        <v>0</v>
      </c>
      <c r="X99" s="39">
        <f t="shared" si="45"/>
        <v>0</v>
      </c>
    </row>
    <row r="100" spans="1:24" ht="14" x14ac:dyDescent="0.3">
      <c r="A100" s="293">
        <v>116</v>
      </c>
      <c r="B100" s="293" t="s">
        <v>1068</v>
      </c>
      <c r="C100" s="294" t="s">
        <v>1069</v>
      </c>
      <c r="D100" s="294" t="s">
        <v>63</v>
      </c>
      <c r="E100" s="294">
        <v>2</v>
      </c>
      <c r="F100" s="250">
        <f ca="1">VLOOKUP($D100,Data!$C:$I,7,FALSE)</f>
        <v>0</v>
      </c>
      <c r="G100" s="296" t="str">
        <f t="shared" si="26"/>
        <v>ID.RM-12</v>
      </c>
      <c r="H100" s="296" t="str">
        <f t="shared" ca="1" si="27"/>
        <v>ID.RM-120</v>
      </c>
      <c r="K100" s="249"/>
      <c r="L100" s="36" t="s">
        <v>1241</v>
      </c>
      <c r="M100" s="37">
        <f t="shared" ca="1" si="35"/>
        <v>0</v>
      </c>
      <c r="N100" s="39">
        <f t="shared" ca="1" si="36"/>
        <v>0</v>
      </c>
      <c r="O100" s="39">
        <f t="shared" si="37"/>
        <v>1</v>
      </c>
      <c r="P100" s="37">
        <f t="shared" ca="1" si="38"/>
        <v>0</v>
      </c>
      <c r="Q100" s="39">
        <f t="shared" ca="1" si="40"/>
        <v>0</v>
      </c>
      <c r="R100" s="39">
        <f t="shared" si="41"/>
        <v>1</v>
      </c>
      <c r="S100" s="37">
        <f t="shared" si="39"/>
        <v>0</v>
      </c>
      <c r="T100" s="39">
        <f t="shared" ca="1" si="42"/>
        <v>0</v>
      </c>
      <c r="U100" s="39">
        <f t="shared" si="43"/>
        <v>0</v>
      </c>
      <c r="V100" s="37">
        <f t="shared" si="32"/>
        <v>0</v>
      </c>
      <c r="W100" s="39">
        <f t="shared" ca="1" si="44"/>
        <v>0</v>
      </c>
      <c r="X100" s="39">
        <f t="shared" si="45"/>
        <v>0</v>
      </c>
    </row>
    <row r="101" spans="1:24" ht="14" x14ac:dyDescent="0.3">
      <c r="A101" s="293">
        <v>118</v>
      </c>
      <c r="B101" s="293" t="s">
        <v>1068</v>
      </c>
      <c r="C101" s="294" t="s">
        <v>1070</v>
      </c>
      <c r="D101" s="294" t="s">
        <v>46</v>
      </c>
      <c r="E101" s="294">
        <v>2</v>
      </c>
      <c r="F101" s="250">
        <f ca="1">VLOOKUP($D101,Data!$C:$I,7,FALSE)</f>
        <v>0</v>
      </c>
      <c r="G101" s="296" t="str">
        <f t="shared" si="26"/>
        <v>ID.RM-12</v>
      </c>
      <c r="H101" s="296" t="str">
        <f t="shared" ca="1" si="27"/>
        <v>ID.RM-120</v>
      </c>
      <c r="K101" s="249"/>
      <c r="L101" s="36" t="s">
        <v>1242</v>
      </c>
      <c r="M101" s="37">
        <f t="shared" ca="1" si="35"/>
        <v>0</v>
      </c>
      <c r="N101" s="39">
        <f t="shared" ca="1" si="36"/>
        <v>0</v>
      </c>
      <c r="O101" s="39">
        <f t="shared" si="37"/>
        <v>5</v>
      </c>
      <c r="P101" s="37">
        <f t="shared" ca="1" si="38"/>
        <v>0</v>
      </c>
      <c r="Q101" s="39">
        <f t="shared" ca="1" si="40"/>
        <v>0</v>
      </c>
      <c r="R101" s="39">
        <f t="shared" si="41"/>
        <v>1</v>
      </c>
      <c r="S101" s="37">
        <f t="shared" ca="1" si="39"/>
        <v>0</v>
      </c>
      <c r="T101" s="39">
        <f t="shared" ca="1" si="42"/>
        <v>0</v>
      </c>
      <c r="U101" s="39">
        <f t="shared" si="43"/>
        <v>2</v>
      </c>
      <c r="V101" s="37">
        <f t="shared" ca="1" si="32"/>
        <v>0</v>
      </c>
      <c r="W101" s="39">
        <f t="shared" ca="1" si="44"/>
        <v>0</v>
      </c>
      <c r="X101" s="39">
        <f t="shared" si="45"/>
        <v>2</v>
      </c>
    </row>
    <row r="102" spans="1:24" ht="14" x14ac:dyDescent="0.3">
      <c r="A102" s="293">
        <v>118</v>
      </c>
      <c r="B102" s="293" t="s">
        <v>1068</v>
      </c>
      <c r="C102" s="294" t="s">
        <v>1070</v>
      </c>
      <c r="D102" s="294" t="s">
        <v>54</v>
      </c>
      <c r="E102" s="295">
        <v>3</v>
      </c>
      <c r="F102" s="250">
        <f ca="1">VLOOKUP($D102,Data!$C:$I,7,FALSE)</f>
        <v>0</v>
      </c>
      <c r="G102" s="296" t="str">
        <f t="shared" si="26"/>
        <v>ID.RM-13</v>
      </c>
      <c r="H102" s="296" t="str">
        <f t="shared" ca="1" si="27"/>
        <v>ID.RM-130</v>
      </c>
      <c r="K102" s="249" t="s">
        <v>1271</v>
      </c>
      <c r="L102" s="36" t="s">
        <v>1243</v>
      </c>
      <c r="M102" s="37">
        <f t="shared" ca="1" si="35"/>
        <v>0</v>
      </c>
      <c r="N102" s="39">
        <f t="shared" ca="1" si="36"/>
        <v>0</v>
      </c>
      <c r="O102" s="39">
        <f t="shared" si="37"/>
        <v>1</v>
      </c>
      <c r="P102" s="37">
        <f t="shared" si="38"/>
        <v>0</v>
      </c>
      <c r="Q102" s="39">
        <f t="shared" ca="1" si="40"/>
        <v>0</v>
      </c>
      <c r="R102" s="39">
        <f t="shared" si="41"/>
        <v>0</v>
      </c>
      <c r="S102" s="37">
        <f t="shared" si="39"/>
        <v>0</v>
      </c>
      <c r="T102" s="39">
        <f t="shared" ca="1" si="42"/>
        <v>0</v>
      </c>
      <c r="U102" s="39">
        <f t="shared" si="43"/>
        <v>0</v>
      </c>
      <c r="V102" s="37">
        <f t="shared" ca="1" si="32"/>
        <v>0</v>
      </c>
      <c r="W102" s="39">
        <f t="shared" ca="1" si="44"/>
        <v>0</v>
      </c>
      <c r="X102" s="39">
        <f t="shared" si="45"/>
        <v>1</v>
      </c>
    </row>
    <row r="103" spans="1:24" ht="14" x14ac:dyDescent="0.3">
      <c r="A103" s="293">
        <v>119</v>
      </c>
      <c r="B103" s="293" t="s">
        <v>1068</v>
      </c>
      <c r="C103" s="294" t="s">
        <v>1071</v>
      </c>
      <c r="D103" s="294" t="s">
        <v>44</v>
      </c>
      <c r="E103" s="294">
        <v>1</v>
      </c>
      <c r="F103" s="250">
        <f ca="1">VLOOKUP($D103,Data!$C:$I,7,FALSE)</f>
        <v>0</v>
      </c>
      <c r="G103" s="296" t="str">
        <f t="shared" si="26"/>
        <v>ID.RM-11</v>
      </c>
      <c r="H103" s="296" t="str">
        <f t="shared" ca="1" si="27"/>
        <v>ID.RM-110</v>
      </c>
      <c r="K103" s="249"/>
      <c r="L103" s="36" t="s">
        <v>1244</v>
      </c>
      <c r="M103" s="37">
        <f t="shared" ca="1" si="35"/>
        <v>0</v>
      </c>
      <c r="N103" s="39">
        <f t="shared" ca="1" si="36"/>
        <v>0</v>
      </c>
      <c r="O103" s="39">
        <f t="shared" si="37"/>
        <v>1</v>
      </c>
      <c r="P103" s="37">
        <f t="shared" si="38"/>
        <v>0</v>
      </c>
      <c r="Q103" s="39">
        <f t="shared" ca="1" si="40"/>
        <v>0</v>
      </c>
      <c r="R103" s="39">
        <f t="shared" si="41"/>
        <v>0</v>
      </c>
      <c r="S103" s="37">
        <f t="shared" si="39"/>
        <v>0</v>
      </c>
      <c r="T103" s="39">
        <f t="shared" ca="1" si="42"/>
        <v>0</v>
      </c>
      <c r="U103" s="39">
        <f t="shared" si="43"/>
        <v>0</v>
      </c>
      <c r="V103" s="37">
        <f t="shared" ca="1" si="32"/>
        <v>0</v>
      </c>
      <c r="W103" s="39">
        <f t="shared" ca="1" si="44"/>
        <v>0</v>
      </c>
      <c r="X103" s="39">
        <f t="shared" si="45"/>
        <v>1</v>
      </c>
    </row>
    <row r="104" spans="1:24" ht="14" x14ac:dyDescent="0.3">
      <c r="A104" s="293">
        <v>120</v>
      </c>
      <c r="B104" s="293" t="s">
        <v>1068</v>
      </c>
      <c r="C104" s="294" t="s">
        <v>1067</v>
      </c>
      <c r="D104" s="294" t="s">
        <v>50</v>
      </c>
      <c r="E104" s="294">
        <v>2</v>
      </c>
      <c r="F104" s="250">
        <f ca="1">VLOOKUP($D104,Data!$C:$I,7,FALSE)</f>
        <v>0</v>
      </c>
      <c r="G104" s="296" t="str">
        <f t="shared" si="26"/>
        <v>ID.RM-12</v>
      </c>
      <c r="H104" s="296" t="str">
        <f t="shared" ca="1" si="27"/>
        <v>ID.RM-120</v>
      </c>
      <c r="K104" s="249" t="s">
        <v>1272</v>
      </c>
      <c r="L104" s="36" t="s">
        <v>1245</v>
      </c>
      <c r="M104" s="37">
        <f t="shared" ca="1" si="35"/>
        <v>0</v>
      </c>
      <c r="N104" s="39">
        <f t="shared" ca="1" si="36"/>
        <v>0</v>
      </c>
      <c r="O104" s="39">
        <f t="shared" si="37"/>
        <v>5</v>
      </c>
      <c r="P104" s="37">
        <f t="shared" ca="1" si="38"/>
        <v>0</v>
      </c>
      <c r="Q104" s="39">
        <f t="shared" ca="1" si="40"/>
        <v>0</v>
      </c>
      <c r="R104" s="39">
        <f t="shared" si="41"/>
        <v>1</v>
      </c>
      <c r="S104" s="37">
        <f t="shared" ca="1" si="39"/>
        <v>0</v>
      </c>
      <c r="T104" s="39">
        <f t="shared" ca="1" si="42"/>
        <v>0</v>
      </c>
      <c r="U104" s="39">
        <f t="shared" si="43"/>
        <v>3</v>
      </c>
      <c r="V104" s="37">
        <f t="shared" ca="1" si="32"/>
        <v>0</v>
      </c>
      <c r="W104" s="39">
        <f t="shared" ca="1" si="44"/>
        <v>0</v>
      </c>
      <c r="X104" s="39">
        <f t="shared" si="45"/>
        <v>1</v>
      </c>
    </row>
    <row r="105" spans="1:24" ht="14" x14ac:dyDescent="0.3">
      <c r="A105" s="293">
        <v>122</v>
      </c>
      <c r="B105" s="293" t="s">
        <v>1068</v>
      </c>
      <c r="C105" s="294" t="s">
        <v>1072</v>
      </c>
      <c r="D105" s="294" t="s">
        <v>75</v>
      </c>
      <c r="E105" s="294">
        <v>2</v>
      </c>
      <c r="F105" s="250">
        <f ca="1">VLOOKUP($D105,Data!$C:$I,7,FALSE)</f>
        <v>0</v>
      </c>
      <c r="G105" s="296" t="str">
        <f t="shared" si="26"/>
        <v>ID.RM-12</v>
      </c>
      <c r="H105" s="296" t="str">
        <f t="shared" ca="1" si="27"/>
        <v>ID.RM-120</v>
      </c>
      <c r="K105" s="249" t="s">
        <v>1273</v>
      </c>
      <c r="L105" s="36" t="s">
        <v>1246</v>
      </c>
      <c r="M105" s="37">
        <f t="shared" ca="1" si="35"/>
        <v>0</v>
      </c>
      <c r="N105" s="39">
        <f t="shared" ca="1" si="36"/>
        <v>0</v>
      </c>
      <c r="O105" s="39">
        <f t="shared" si="37"/>
        <v>3</v>
      </c>
      <c r="P105" s="37">
        <f t="shared" si="38"/>
        <v>0</v>
      </c>
      <c r="Q105" s="39">
        <f t="shared" ca="1" si="40"/>
        <v>0</v>
      </c>
      <c r="R105" s="39">
        <f t="shared" si="41"/>
        <v>0</v>
      </c>
      <c r="S105" s="37">
        <f t="shared" si="39"/>
        <v>0</v>
      </c>
      <c r="T105" s="39">
        <f t="shared" ca="1" si="42"/>
        <v>0</v>
      </c>
      <c r="U105" s="39">
        <f t="shared" si="43"/>
        <v>0</v>
      </c>
      <c r="V105" s="37">
        <f t="shared" ca="1" si="32"/>
        <v>0</v>
      </c>
      <c r="W105" s="39">
        <f t="shared" ca="1" si="44"/>
        <v>0</v>
      </c>
      <c r="X105" s="39">
        <f t="shared" si="45"/>
        <v>3</v>
      </c>
    </row>
    <row r="106" spans="1:24" ht="14" x14ac:dyDescent="0.3">
      <c r="A106" s="293">
        <v>124</v>
      </c>
      <c r="B106" s="293" t="s">
        <v>1068</v>
      </c>
      <c r="C106" s="294" t="s">
        <v>1073</v>
      </c>
      <c r="D106" s="294" t="s">
        <v>78</v>
      </c>
      <c r="E106" s="294">
        <v>2</v>
      </c>
      <c r="F106" s="250">
        <f ca="1">VLOOKUP($D106,Data!$C:$I,7,FALSE)</f>
        <v>0</v>
      </c>
      <c r="G106" s="296" t="str">
        <f t="shared" si="26"/>
        <v>ID.RM-12</v>
      </c>
      <c r="H106" s="296" t="str">
        <f t="shared" ca="1" si="27"/>
        <v>ID.RM-120</v>
      </c>
      <c r="K106" s="249"/>
      <c r="L106" s="36" t="s">
        <v>1247</v>
      </c>
      <c r="M106" s="37">
        <f t="shared" ca="1" si="35"/>
        <v>0</v>
      </c>
      <c r="N106" s="39">
        <f t="shared" ca="1" si="36"/>
        <v>0</v>
      </c>
      <c r="O106" s="39">
        <f t="shared" si="37"/>
        <v>1</v>
      </c>
      <c r="P106" s="37">
        <f t="shared" si="38"/>
        <v>0</v>
      </c>
      <c r="Q106" s="39">
        <f t="shared" ca="1" si="40"/>
        <v>0</v>
      </c>
      <c r="R106" s="39">
        <f t="shared" si="41"/>
        <v>0</v>
      </c>
      <c r="S106" s="37">
        <f t="shared" si="39"/>
        <v>0</v>
      </c>
      <c r="T106" s="39">
        <f t="shared" ca="1" si="42"/>
        <v>0</v>
      </c>
      <c r="U106" s="39">
        <f t="shared" si="43"/>
        <v>0</v>
      </c>
      <c r="V106" s="37">
        <f t="shared" ca="1" si="32"/>
        <v>0</v>
      </c>
      <c r="W106" s="39">
        <f t="shared" ca="1" si="44"/>
        <v>0</v>
      </c>
      <c r="X106" s="39">
        <f t="shared" si="45"/>
        <v>1</v>
      </c>
    </row>
    <row r="107" spans="1:24" ht="14" x14ac:dyDescent="0.3">
      <c r="A107" s="293">
        <v>126</v>
      </c>
      <c r="B107" s="293" t="s">
        <v>1068</v>
      </c>
      <c r="C107" s="294" t="s">
        <v>1017</v>
      </c>
      <c r="D107" s="294" t="s">
        <v>65</v>
      </c>
      <c r="E107" s="294">
        <v>2</v>
      </c>
      <c r="F107" s="250">
        <f ca="1">VLOOKUP($D107,Data!$C:$I,7,FALSE)</f>
        <v>0</v>
      </c>
      <c r="G107" s="296" t="str">
        <f t="shared" si="26"/>
        <v>ID.RM-12</v>
      </c>
      <c r="H107" s="296" t="str">
        <f t="shared" ca="1" si="27"/>
        <v>ID.RM-120</v>
      </c>
      <c r="K107" s="249" t="s">
        <v>1274</v>
      </c>
      <c r="L107" s="36" t="s">
        <v>1248</v>
      </c>
      <c r="M107" s="37">
        <f t="shared" ca="1" si="35"/>
        <v>0</v>
      </c>
      <c r="N107" s="39">
        <f t="shared" ca="1" si="36"/>
        <v>0</v>
      </c>
      <c r="O107" s="39">
        <f t="shared" si="37"/>
        <v>1</v>
      </c>
      <c r="P107" s="37">
        <f t="shared" si="38"/>
        <v>0</v>
      </c>
      <c r="Q107" s="39">
        <f t="shared" ca="1" si="40"/>
        <v>0</v>
      </c>
      <c r="R107" s="39">
        <f t="shared" si="41"/>
        <v>0</v>
      </c>
      <c r="S107" s="37">
        <f t="shared" si="39"/>
        <v>0</v>
      </c>
      <c r="T107" s="39">
        <f t="shared" ca="1" si="42"/>
        <v>0</v>
      </c>
      <c r="U107" s="39">
        <f t="shared" si="43"/>
        <v>0</v>
      </c>
      <c r="V107" s="37">
        <f t="shared" ca="1" si="32"/>
        <v>0</v>
      </c>
      <c r="W107" s="39">
        <f t="shared" ca="1" si="44"/>
        <v>0</v>
      </c>
      <c r="X107" s="39">
        <f t="shared" si="45"/>
        <v>1</v>
      </c>
    </row>
    <row r="108" spans="1:24" ht="14" x14ac:dyDescent="0.3">
      <c r="A108" s="293">
        <v>127</v>
      </c>
      <c r="B108" s="293" t="s">
        <v>1068</v>
      </c>
      <c r="C108" s="294" t="s">
        <v>1074</v>
      </c>
      <c r="D108" s="294" t="s">
        <v>70</v>
      </c>
      <c r="E108" s="294">
        <v>3</v>
      </c>
      <c r="F108" s="250">
        <f ca="1">VLOOKUP($D108,Data!$C:$I,7,FALSE)</f>
        <v>0</v>
      </c>
      <c r="G108" s="296" t="str">
        <f t="shared" si="26"/>
        <v>ID.RM-13</v>
      </c>
      <c r="H108" s="296" t="str">
        <f t="shared" ca="1" si="27"/>
        <v>ID.RM-130</v>
      </c>
      <c r="K108" s="249"/>
      <c r="L108" s="36" t="s">
        <v>1249</v>
      </c>
      <c r="M108" s="37">
        <f t="shared" ca="1" si="35"/>
        <v>0</v>
      </c>
      <c r="N108" s="39">
        <f t="shared" ca="1" si="36"/>
        <v>0</v>
      </c>
      <c r="O108" s="39">
        <f t="shared" si="37"/>
        <v>1</v>
      </c>
      <c r="P108" s="37">
        <f t="shared" si="38"/>
        <v>0</v>
      </c>
      <c r="Q108" s="39">
        <f t="shared" ca="1" si="40"/>
        <v>0</v>
      </c>
      <c r="R108" s="39">
        <f t="shared" si="41"/>
        <v>0</v>
      </c>
      <c r="S108" s="37">
        <f t="shared" ca="1" si="39"/>
        <v>0</v>
      </c>
      <c r="T108" s="39">
        <f t="shared" ca="1" si="42"/>
        <v>0</v>
      </c>
      <c r="U108" s="39">
        <f t="shared" si="43"/>
        <v>1</v>
      </c>
      <c r="V108" s="37">
        <f t="shared" si="32"/>
        <v>0</v>
      </c>
      <c r="W108" s="39">
        <f t="shared" ca="1" si="44"/>
        <v>0</v>
      </c>
      <c r="X108" s="39">
        <f t="shared" si="45"/>
        <v>0</v>
      </c>
    </row>
    <row r="109" spans="1:24" ht="14" x14ac:dyDescent="0.3">
      <c r="A109" s="293">
        <v>128</v>
      </c>
      <c r="B109" s="293" t="s">
        <v>1068</v>
      </c>
      <c r="C109" s="294" t="s">
        <v>1047</v>
      </c>
      <c r="D109" s="294" t="s">
        <v>73</v>
      </c>
      <c r="E109" s="294">
        <v>3</v>
      </c>
      <c r="F109" s="250">
        <f ca="1">VLOOKUP($D109,Data!$C:$I,7,FALSE)</f>
        <v>0</v>
      </c>
      <c r="G109" s="296" t="str">
        <f t="shared" si="26"/>
        <v>ID.RM-13</v>
      </c>
      <c r="H109" s="296" t="str">
        <f t="shared" ca="1" si="27"/>
        <v>ID.RM-130</v>
      </c>
      <c r="K109" s="249"/>
      <c r="L109" s="36" t="s">
        <v>1250</v>
      </c>
      <c r="M109" s="37">
        <f t="shared" ca="1" si="35"/>
        <v>0</v>
      </c>
      <c r="N109" s="39">
        <f t="shared" ca="1" si="36"/>
        <v>0</v>
      </c>
      <c r="O109" s="39">
        <f t="shared" si="37"/>
        <v>2</v>
      </c>
      <c r="P109" s="37">
        <f t="shared" si="38"/>
        <v>0</v>
      </c>
      <c r="Q109" s="39">
        <f t="shared" ca="1" si="40"/>
        <v>0</v>
      </c>
      <c r="R109" s="39">
        <f t="shared" si="41"/>
        <v>0</v>
      </c>
      <c r="S109" s="37">
        <f t="shared" ca="1" si="39"/>
        <v>0</v>
      </c>
      <c r="T109" s="39">
        <f t="shared" ca="1" si="42"/>
        <v>0</v>
      </c>
      <c r="U109" s="39">
        <f t="shared" si="43"/>
        <v>2</v>
      </c>
      <c r="V109" s="37">
        <f t="shared" si="32"/>
        <v>0</v>
      </c>
      <c r="W109" s="39">
        <f t="shared" ca="1" si="44"/>
        <v>0</v>
      </c>
      <c r="X109" s="39">
        <f t="shared" si="45"/>
        <v>0</v>
      </c>
    </row>
    <row r="110" spans="1:24" ht="14" x14ac:dyDescent="0.3">
      <c r="A110" s="293">
        <v>129</v>
      </c>
      <c r="B110" s="293" t="s">
        <v>1068</v>
      </c>
      <c r="C110" s="294" t="s">
        <v>1046</v>
      </c>
      <c r="D110" s="294" t="s">
        <v>56</v>
      </c>
      <c r="E110" s="294">
        <v>3</v>
      </c>
      <c r="F110" s="250">
        <f ca="1">VLOOKUP($D110,Data!$C:$I,7,FALSE)</f>
        <v>0</v>
      </c>
      <c r="G110" s="296" t="str">
        <f t="shared" si="26"/>
        <v>ID.RM-13</v>
      </c>
      <c r="H110" s="296" t="str">
        <f t="shared" ca="1" si="27"/>
        <v>ID.RM-130</v>
      </c>
    </row>
    <row r="111" spans="1:24" ht="14" x14ac:dyDescent="0.3">
      <c r="A111" s="293">
        <v>130</v>
      </c>
      <c r="B111" s="293" t="s">
        <v>1068</v>
      </c>
      <c r="C111" s="294" t="s">
        <v>1054</v>
      </c>
      <c r="D111" s="294" t="s">
        <v>48</v>
      </c>
      <c r="E111" s="294">
        <v>2</v>
      </c>
      <c r="F111" s="250">
        <f ca="1">VLOOKUP($D111,Data!$C:$I,7,FALSE)</f>
        <v>0</v>
      </c>
      <c r="G111" s="296" t="str">
        <f t="shared" si="26"/>
        <v>ID.RM-12</v>
      </c>
      <c r="H111" s="296" t="str">
        <f t="shared" ca="1" si="27"/>
        <v>ID.RM-120</v>
      </c>
    </row>
    <row r="112" spans="1:24" ht="14" x14ac:dyDescent="0.3">
      <c r="A112" s="293">
        <v>130</v>
      </c>
      <c r="B112" s="293" t="s">
        <v>1068</v>
      </c>
      <c r="C112" s="294" t="s">
        <v>1054</v>
      </c>
      <c r="D112" s="294" t="s">
        <v>61</v>
      </c>
      <c r="E112" s="295">
        <v>3</v>
      </c>
      <c r="F112" s="250">
        <f ca="1">VLOOKUP($D112,Data!$C:$I,7,FALSE)</f>
        <v>0</v>
      </c>
      <c r="G112" s="296" t="str">
        <f t="shared" si="26"/>
        <v>ID.RM-13</v>
      </c>
      <c r="H112" s="296" t="str">
        <f t="shared" ca="1" si="27"/>
        <v>ID.RM-130</v>
      </c>
    </row>
    <row r="113" spans="1:8" ht="14" x14ac:dyDescent="0.3">
      <c r="A113" s="293">
        <v>132</v>
      </c>
      <c r="B113" s="293" t="s">
        <v>1068</v>
      </c>
      <c r="C113" s="294" t="s">
        <v>1075</v>
      </c>
      <c r="D113" s="294" t="s">
        <v>84</v>
      </c>
      <c r="E113" s="294">
        <v>2</v>
      </c>
      <c r="F113" s="250">
        <f ca="1">VLOOKUP($D113,Data!$C:$I,7,FALSE)</f>
        <v>0</v>
      </c>
      <c r="G113" s="296" t="str">
        <f t="shared" si="26"/>
        <v>ID.RM-12</v>
      </c>
      <c r="H113" s="296" t="str">
        <f t="shared" ca="1" si="27"/>
        <v>ID.RM-120</v>
      </c>
    </row>
    <row r="114" spans="1:8" ht="14" x14ac:dyDescent="0.3">
      <c r="A114" s="293">
        <v>133</v>
      </c>
      <c r="B114" s="293" t="s">
        <v>1068</v>
      </c>
      <c r="C114" s="294" t="s">
        <v>1076</v>
      </c>
      <c r="D114" s="294" t="s">
        <v>81</v>
      </c>
      <c r="E114" s="294">
        <v>2</v>
      </c>
      <c r="F114" s="250">
        <f ca="1">VLOOKUP($D114,Data!$C:$I,7,FALSE)</f>
        <v>0</v>
      </c>
      <c r="G114" s="296" t="str">
        <f t="shared" si="26"/>
        <v>ID.RM-12</v>
      </c>
      <c r="H114" s="296" t="str">
        <f t="shared" ca="1" si="27"/>
        <v>ID.RM-120</v>
      </c>
    </row>
    <row r="115" spans="1:8" ht="14" x14ac:dyDescent="0.3">
      <c r="A115" s="293">
        <v>134</v>
      </c>
      <c r="B115" s="293" t="s">
        <v>1077</v>
      </c>
      <c r="C115" s="294" t="s">
        <v>1017</v>
      </c>
      <c r="D115" s="294" t="s">
        <v>65</v>
      </c>
      <c r="E115" s="294">
        <v>2</v>
      </c>
      <c r="F115" s="250">
        <f ca="1">VLOOKUP($D115,Data!$C:$I,7,FALSE)</f>
        <v>0</v>
      </c>
      <c r="G115" s="296" t="str">
        <f t="shared" si="26"/>
        <v>ID.RM-22</v>
      </c>
      <c r="H115" s="296" t="str">
        <f t="shared" ca="1" si="27"/>
        <v>ID.RM-220</v>
      </c>
    </row>
    <row r="116" spans="1:8" ht="14" x14ac:dyDescent="0.3">
      <c r="A116" s="293">
        <v>135</v>
      </c>
      <c r="B116" s="293" t="s">
        <v>1077</v>
      </c>
      <c r="C116" s="294" t="s">
        <v>1047</v>
      </c>
      <c r="D116" s="294" t="s">
        <v>73</v>
      </c>
      <c r="E116" s="294">
        <v>3</v>
      </c>
      <c r="F116" s="250">
        <f ca="1">VLOOKUP($D116,Data!$C:$I,7,FALSE)</f>
        <v>0</v>
      </c>
      <c r="G116" s="296" t="str">
        <f t="shared" si="26"/>
        <v>ID.RM-23</v>
      </c>
      <c r="H116" s="296" t="str">
        <f t="shared" ca="1" si="27"/>
        <v>ID.RM-230</v>
      </c>
    </row>
    <row r="117" spans="1:8" ht="14" x14ac:dyDescent="0.3">
      <c r="A117" s="293">
        <v>137</v>
      </c>
      <c r="B117" s="293" t="s">
        <v>1078</v>
      </c>
      <c r="C117" s="294" t="s">
        <v>1017</v>
      </c>
      <c r="D117" s="294" t="s">
        <v>65</v>
      </c>
      <c r="E117" s="294">
        <v>2</v>
      </c>
      <c r="F117" s="250">
        <f ca="1">VLOOKUP($D117,Data!$C:$I,7,FALSE)</f>
        <v>0</v>
      </c>
      <c r="G117" s="296" t="str">
        <f t="shared" si="26"/>
        <v>ID.RM-32</v>
      </c>
      <c r="H117" s="296" t="str">
        <f t="shared" ca="1" si="27"/>
        <v>ID.RM-320</v>
      </c>
    </row>
    <row r="118" spans="1:8" ht="14" x14ac:dyDescent="0.3">
      <c r="A118" s="293">
        <v>138</v>
      </c>
      <c r="B118" s="293" t="s">
        <v>987</v>
      </c>
      <c r="C118" s="294" t="s">
        <v>1079</v>
      </c>
      <c r="D118" s="294" t="s">
        <v>297</v>
      </c>
      <c r="E118" s="294">
        <v>1</v>
      </c>
      <c r="F118" s="250">
        <f ca="1">VLOOKUP($D118,Data!$C:$I,7,FALSE)</f>
        <v>0</v>
      </c>
      <c r="G118" s="296" t="str">
        <f t="shared" si="26"/>
        <v>ID.SC-11</v>
      </c>
      <c r="H118" s="296" t="str">
        <f t="shared" ca="1" si="27"/>
        <v>ID.SC-110</v>
      </c>
    </row>
    <row r="119" spans="1:8" ht="14" x14ac:dyDescent="0.3">
      <c r="A119" s="293">
        <v>139</v>
      </c>
      <c r="B119" s="293" t="s">
        <v>987</v>
      </c>
      <c r="C119" s="294" t="s">
        <v>1080</v>
      </c>
      <c r="D119" s="294" t="s">
        <v>298</v>
      </c>
      <c r="E119" s="294">
        <v>1</v>
      </c>
      <c r="F119" s="250">
        <f ca="1">VLOOKUP($D119,Data!$C:$I,7,FALSE)</f>
        <v>0</v>
      </c>
      <c r="G119" s="296" t="str">
        <f t="shared" si="26"/>
        <v>ID.SC-11</v>
      </c>
      <c r="H119" s="296" t="str">
        <f t="shared" ca="1" si="27"/>
        <v>ID.SC-110</v>
      </c>
    </row>
    <row r="120" spans="1:8" ht="14" x14ac:dyDescent="0.3">
      <c r="A120" s="293">
        <v>140</v>
      </c>
      <c r="B120" s="293" t="s">
        <v>987</v>
      </c>
      <c r="C120" s="294" t="s">
        <v>1081</v>
      </c>
      <c r="D120" s="294" t="s">
        <v>299</v>
      </c>
      <c r="E120" s="294">
        <v>2</v>
      </c>
      <c r="F120" s="250">
        <f ca="1">VLOOKUP($D120,Data!$C:$I,7,FALSE)</f>
        <v>0</v>
      </c>
      <c r="G120" s="296" t="str">
        <f t="shared" si="26"/>
        <v>ID.SC-12</v>
      </c>
      <c r="H120" s="296" t="str">
        <f t="shared" ca="1" si="27"/>
        <v>ID.SC-120</v>
      </c>
    </row>
    <row r="121" spans="1:8" ht="14" x14ac:dyDescent="0.3">
      <c r="A121" s="293">
        <v>142</v>
      </c>
      <c r="B121" s="293" t="s">
        <v>987</v>
      </c>
      <c r="C121" s="294" t="s">
        <v>1082</v>
      </c>
      <c r="D121" s="294" t="s">
        <v>306</v>
      </c>
      <c r="E121" s="294">
        <v>3</v>
      </c>
      <c r="F121" s="250">
        <f ca="1">VLOOKUP($D121,Data!$C:$I,7,FALSE)</f>
        <v>0</v>
      </c>
      <c r="G121" s="296" t="str">
        <f t="shared" si="26"/>
        <v>ID.SC-13</v>
      </c>
      <c r="H121" s="296" t="str">
        <f t="shared" ca="1" si="27"/>
        <v>ID.SC-130</v>
      </c>
    </row>
    <row r="122" spans="1:8" ht="14" x14ac:dyDescent="0.3">
      <c r="A122" s="293">
        <v>143</v>
      </c>
      <c r="B122" s="293" t="s">
        <v>1083</v>
      </c>
      <c r="C122" s="294" t="s">
        <v>1013</v>
      </c>
      <c r="D122" s="294" t="s">
        <v>290</v>
      </c>
      <c r="E122" s="294">
        <v>1</v>
      </c>
      <c r="F122" s="250">
        <f ca="1">VLOOKUP($D122,Data!$C:$I,7,FALSE)</f>
        <v>0</v>
      </c>
      <c r="G122" s="296" t="str">
        <f t="shared" si="26"/>
        <v>ID.SC-21</v>
      </c>
      <c r="H122" s="296" t="str">
        <f t="shared" ca="1" si="27"/>
        <v>ID.SC-210</v>
      </c>
    </row>
    <row r="123" spans="1:8" ht="14" x14ac:dyDescent="0.3">
      <c r="A123" s="293">
        <v>144</v>
      </c>
      <c r="B123" s="293" t="s">
        <v>1083</v>
      </c>
      <c r="C123" s="294" t="s">
        <v>1024</v>
      </c>
      <c r="D123" s="294" t="s">
        <v>291</v>
      </c>
      <c r="E123" s="294">
        <v>1</v>
      </c>
      <c r="F123" s="250">
        <f ca="1">VLOOKUP($D123,Data!$C:$I,7,FALSE)</f>
        <v>0</v>
      </c>
      <c r="G123" s="296" t="str">
        <f t="shared" si="26"/>
        <v>ID.SC-21</v>
      </c>
      <c r="H123" s="296" t="str">
        <f t="shared" ca="1" si="27"/>
        <v>ID.SC-210</v>
      </c>
    </row>
    <row r="124" spans="1:8" ht="14" x14ac:dyDescent="0.3">
      <c r="A124" s="293">
        <v>145</v>
      </c>
      <c r="B124" s="293" t="s">
        <v>1083</v>
      </c>
      <c r="C124" s="294" t="s">
        <v>1014</v>
      </c>
      <c r="D124" s="294" t="s">
        <v>292</v>
      </c>
      <c r="E124" s="294">
        <v>2</v>
      </c>
      <c r="F124" s="250">
        <f ca="1">VLOOKUP($D124,Data!$C:$I,7,FALSE)</f>
        <v>0</v>
      </c>
      <c r="G124" s="296" t="str">
        <f t="shared" si="26"/>
        <v>ID.SC-22</v>
      </c>
      <c r="H124" s="296" t="str">
        <f t="shared" ca="1" si="27"/>
        <v>ID.SC-220</v>
      </c>
    </row>
    <row r="125" spans="1:8" ht="14" x14ac:dyDescent="0.3">
      <c r="A125" s="293">
        <v>146</v>
      </c>
      <c r="B125" s="293" t="s">
        <v>1083</v>
      </c>
      <c r="C125" s="294" t="s">
        <v>1025</v>
      </c>
      <c r="D125" s="294" t="s">
        <v>293</v>
      </c>
      <c r="E125" s="294">
        <v>2</v>
      </c>
      <c r="F125" s="250">
        <f ca="1">VLOOKUP($D125,Data!$C:$I,7,FALSE)</f>
        <v>0</v>
      </c>
      <c r="G125" s="296" t="str">
        <f t="shared" si="26"/>
        <v>ID.SC-22</v>
      </c>
      <c r="H125" s="296" t="str">
        <f t="shared" ca="1" si="27"/>
        <v>ID.SC-220</v>
      </c>
    </row>
    <row r="126" spans="1:8" ht="14" x14ac:dyDescent="0.3">
      <c r="A126" s="293">
        <v>147</v>
      </c>
      <c r="B126" s="293" t="s">
        <v>1083</v>
      </c>
      <c r="C126" s="294" t="s">
        <v>1015</v>
      </c>
      <c r="D126" s="294" t="s">
        <v>294</v>
      </c>
      <c r="E126" s="294">
        <v>2</v>
      </c>
      <c r="F126" s="250">
        <f ca="1">VLOOKUP($D126,Data!$C:$I,7,FALSE)</f>
        <v>0</v>
      </c>
      <c r="G126" s="296" t="str">
        <f t="shared" si="26"/>
        <v>ID.SC-22</v>
      </c>
      <c r="H126" s="296" t="str">
        <f t="shared" ca="1" si="27"/>
        <v>ID.SC-220</v>
      </c>
    </row>
    <row r="127" spans="1:8" ht="14" x14ac:dyDescent="0.3">
      <c r="A127" s="293">
        <v>148</v>
      </c>
      <c r="B127" s="293" t="s">
        <v>1083</v>
      </c>
      <c r="C127" s="294" t="s">
        <v>1026</v>
      </c>
      <c r="D127" s="294" t="s">
        <v>295</v>
      </c>
      <c r="E127" s="294">
        <v>2</v>
      </c>
      <c r="F127" s="250">
        <f ca="1">VLOOKUP($D127,Data!$C:$I,7,FALSE)</f>
        <v>0</v>
      </c>
      <c r="G127" s="296" t="str">
        <f t="shared" si="26"/>
        <v>ID.SC-22</v>
      </c>
      <c r="H127" s="296" t="str">
        <f t="shared" ca="1" si="27"/>
        <v>ID.SC-220</v>
      </c>
    </row>
    <row r="128" spans="1:8" ht="14" x14ac:dyDescent="0.3">
      <c r="A128" s="293">
        <v>149</v>
      </c>
      <c r="B128" s="293" t="s">
        <v>1083</v>
      </c>
      <c r="C128" s="294" t="s">
        <v>1016</v>
      </c>
      <c r="D128" s="294" t="s">
        <v>296</v>
      </c>
      <c r="E128" s="294">
        <v>3</v>
      </c>
      <c r="F128" s="250">
        <f ca="1">VLOOKUP($D128,Data!$C:$I,7,FALSE)</f>
        <v>0</v>
      </c>
      <c r="G128" s="296" t="str">
        <f t="shared" si="26"/>
        <v>ID.SC-23</v>
      </c>
      <c r="H128" s="296" t="str">
        <f t="shared" ca="1" si="27"/>
        <v>ID.SC-230</v>
      </c>
    </row>
    <row r="129" spans="1:8" ht="14" x14ac:dyDescent="0.3">
      <c r="A129" s="293">
        <v>150</v>
      </c>
      <c r="B129" s="293" t="s">
        <v>988</v>
      </c>
      <c r="C129" s="294" t="s">
        <v>1080</v>
      </c>
      <c r="D129" s="294" t="s">
        <v>298</v>
      </c>
      <c r="E129" s="294">
        <v>1</v>
      </c>
      <c r="F129" s="250">
        <f ca="1">VLOOKUP($D129,Data!$C:$I,7,FALSE)</f>
        <v>0</v>
      </c>
      <c r="G129" s="296" t="str">
        <f t="shared" si="26"/>
        <v>ID.SC-31</v>
      </c>
      <c r="H129" s="296" t="str">
        <f t="shared" ca="1" si="27"/>
        <v>ID.SC-310</v>
      </c>
    </row>
    <row r="130" spans="1:8" ht="14" x14ac:dyDescent="0.3">
      <c r="A130" s="293">
        <v>151</v>
      </c>
      <c r="B130" s="293" t="s">
        <v>988</v>
      </c>
      <c r="C130" s="294" t="s">
        <v>1084</v>
      </c>
      <c r="D130" s="294" t="s">
        <v>300</v>
      </c>
      <c r="E130" s="294">
        <v>2</v>
      </c>
      <c r="F130" s="250">
        <f ca="1">VLOOKUP($D130,Data!$C:$I,7,FALSE)</f>
        <v>0</v>
      </c>
      <c r="G130" s="296" t="str">
        <f t="shared" ref="G130:G193" si="46">CONCATENATE($B130,$E130)</f>
        <v>ID.SC-32</v>
      </c>
      <c r="H130" s="296" t="str">
        <f t="shared" ref="H130:H193" ca="1" si="47">_xlfn.IFNA(CONCATENATE($B130,$E130,$F130),CONCATENATE($B130,$E130,0))</f>
        <v>ID.SC-320</v>
      </c>
    </row>
    <row r="131" spans="1:8" ht="14" x14ac:dyDescent="0.3">
      <c r="A131" s="293">
        <v>152</v>
      </c>
      <c r="B131" s="293" t="s">
        <v>988</v>
      </c>
      <c r="C131" s="294" t="s">
        <v>1085</v>
      </c>
      <c r="D131" s="294" t="s">
        <v>301</v>
      </c>
      <c r="E131" s="294">
        <v>2</v>
      </c>
      <c r="F131" s="250">
        <f ca="1">VLOOKUP($D131,Data!$C:$I,7,FALSE)</f>
        <v>0</v>
      </c>
      <c r="G131" s="296" t="str">
        <f t="shared" si="46"/>
        <v>ID.SC-32</v>
      </c>
      <c r="H131" s="296" t="str">
        <f t="shared" ca="1" si="47"/>
        <v>ID.SC-320</v>
      </c>
    </row>
    <row r="132" spans="1:8" ht="14" x14ac:dyDescent="0.3">
      <c r="A132" s="293">
        <v>153</v>
      </c>
      <c r="B132" s="293" t="s">
        <v>988</v>
      </c>
      <c r="C132" s="294" t="s">
        <v>1086</v>
      </c>
      <c r="D132" s="294" t="s">
        <v>302</v>
      </c>
      <c r="E132" s="294">
        <v>2</v>
      </c>
      <c r="F132" s="250">
        <f ca="1">VLOOKUP($D132,Data!$C:$I,7,FALSE)</f>
        <v>0</v>
      </c>
      <c r="G132" s="296" t="str">
        <f t="shared" si="46"/>
        <v>ID.SC-32</v>
      </c>
      <c r="H132" s="296" t="str">
        <f t="shared" ca="1" si="47"/>
        <v>ID.SC-320</v>
      </c>
    </row>
    <row r="133" spans="1:8" ht="14" x14ac:dyDescent="0.3">
      <c r="A133" s="293">
        <v>154</v>
      </c>
      <c r="B133" s="293" t="s">
        <v>988</v>
      </c>
      <c r="C133" s="294" t="s">
        <v>1087</v>
      </c>
      <c r="D133" s="294" t="s">
        <v>303</v>
      </c>
      <c r="E133" s="294">
        <v>2</v>
      </c>
      <c r="F133" s="250">
        <f ca="1">VLOOKUP($D133,Data!$C:$I,7,FALSE)</f>
        <v>0</v>
      </c>
      <c r="G133" s="296" t="str">
        <f t="shared" si="46"/>
        <v>ID.SC-32</v>
      </c>
      <c r="H133" s="296" t="str">
        <f t="shared" ca="1" si="47"/>
        <v>ID.SC-320</v>
      </c>
    </row>
    <row r="134" spans="1:8" ht="14" x14ac:dyDescent="0.3">
      <c r="A134" s="293">
        <v>155</v>
      </c>
      <c r="B134" s="293" t="s">
        <v>988</v>
      </c>
      <c r="C134" s="294" t="s">
        <v>1088</v>
      </c>
      <c r="D134" s="294" t="s">
        <v>304</v>
      </c>
      <c r="E134" s="294">
        <v>2</v>
      </c>
      <c r="F134" s="250">
        <f ca="1">VLOOKUP($D134,Data!$C:$I,7,FALSE)</f>
        <v>0</v>
      </c>
      <c r="G134" s="296" t="str">
        <f t="shared" si="46"/>
        <v>ID.SC-32</v>
      </c>
      <c r="H134" s="296" t="str">
        <f t="shared" ca="1" si="47"/>
        <v>ID.SC-320</v>
      </c>
    </row>
    <row r="135" spans="1:8" ht="14" x14ac:dyDescent="0.3">
      <c r="A135" s="293">
        <v>157</v>
      </c>
      <c r="B135" s="293" t="s">
        <v>1003</v>
      </c>
      <c r="C135" s="294" t="s">
        <v>1004</v>
      </c>
      <c r="D135" s="294" t="s">
        <v>305</v>
      </c>
      <c r="E135" s="294">
        <v>2</v>
      </c>
      <c r="F135" s="250">
        <f ca="1">VLOOKUP($D135,Data!$C:$I,7,FALSE)</f>
        <v>0</v>
      </c>
      <c r="G135" s="296" t="str">
        <f t="shared" si="46"/>
        <v>ID.SC-42</v>
      </c>
      <c r="H135" s="296" t="str">
        <f t="shared" ca="1" si="47"/>
        <v>ID.SC-420</v>
      </c>
    </row>
    <row r="136" spans="1:8" ht="14" x14ac:dyDescent="0.3">
      <c r="A136" s="293">
        <v>158</v>
      </c>
      <c r="B136" s="293" t="s">
        <v>1003</v>
      </c>
      <c r="C136" s="294" t="s">
        <v>1089</v>
      </c>
      <c r="D136" s="294" t="s">
        <v>310</v>
      </c>
      <c r="E136" s="294">
        <v>3</v>
      </c>
      <c r="F136" s="250">
        <f ca="1">VLOOKUP($D136,Data!$C:$I,7,FALSE)</f>
        <v>0</v>
      </c>
      <c r="G136" s="296" t="str">
        <f t="shared" si="46"/>
        <v>ID.SC-43</v>
      </c>
      <c r="H136" s="296" t="str">
        <f t="shared" ca="1" si="47"/>
        <v>ID.SC-430</v>
      </c>
    </row>
    <row r="137" spans="1:8" ht="14" x14ac:dyDescent="0.3">
      <c r="A137" s="293">
        <v>159</v>
      </c>
      <c r="B137" s="293" t="s">
        <v>1003</v>
      </c>
      <c r="C137" s="294" t="s">
        <v>1090</v>
      </c>
      <c r="D137" s="294" t="s">
        <v>309</v>
      </c>
      <c r="E137" s="294">
        <v>3</v>
      </c>
      <c r="F137" s="250">
        <f ca="1">VLOOKUP($D137,Data!$C:$I,7,FALSE)</f>
        <v>0</v>
      </c>
      <c r="G137" s="296" t="str">
        <f t="shared" si="46"/>
        <v>ID.SC-43</v>
      </c>
      <c r="H137" s="296" t="str">
        <f t="shared" ca="1" si="47"/>
        <v>ID.SC-430</v>
      </c>
    </row>
    <row r="138" spans="1:8" ht="14" x14ac:dyDescent="0.3">
      <c r="A138" s="293">
        <v>160</v>
      </c>
      <c r="B138" s="293" t="s">
        <v>1091</v>
      </c>
      <c r="C138" s="294" t="s">
        <v>1092</v>
      </c>
      <c r="D138" s="294" t="s">
        <v>276</v>
      </c>
      <c r="E138" s="294">
        <v>2</v>
      </c>
      <c r="F138" s="250">
        <f ca="1">VLOOKUP($D138,Data!$C:$I,7,FALSE)</f>
        <v>0</v>
      </c>
      <c r="G138" s="296" t="str">
        <f t="shared" si="46"/>
        <v>ID.SC-52</v>
      </c>
      <c r="H138" s="296" t="str">
        <f t="shared" ca="1" si="47"/>
        <v>ID.SC-520</v>
      </c>
    </row>
    <row r="139" spans="1:8" ht="14" x14ac:dyDescent="0.3">
      <c r="A139" s="293">
        <v>161</v>
      </c>
      <c r="B139" s="293" t="s">
        <v>1091</v>
      </c>
      <c r="C139" s="294" t="s">
        <v>1093</v>
      </c>
      <c r="D139" s="294" t="s">
        <v>408</v>
      </c>
      <c r="E139" s="294">
        <v>2</v>
      </c>
      <c r="F139" s="250">
        <f ca="1">VLOOKUP($D139,Data!$C:$I,7,FALSE)</f>
        <v>0</v>
      </c>
      <c r="G139" s="296" t="str">
        <f t="shared" si="46"/>
        <v>ID.SC-52</v>
      </c>
      <c r="H139" s="296" t="str">
        <f t="shared" ca="1" si="47"/>
        <v>ID.SC-520</v>
      </c>
    </row>
    <row r="140" spans="1:8" ht="14" x14ac:dyDescent="0.3">
      <c r="A140" s="293">
        <v>161</v>
      </c>
      <c r="B140" s="293" t="s">
        <v>1091</v>
      </c>
      <c r="C140" s="294" t="s">
        <v>1093</v>
      </c>
      <c r="D140" s="294" t="s">
        <v>411</v>
      </c>
      <c r="E140" s="295">
        <v>3</v>
      </c>
      <c r="F140" s="250">
        <f ca="1">VLOOKUP($D140,Data!$C:$I,7,FALSE)</f>
        <v>0</v>
      </c>
      <c r="G140" s="296" t="str">
        <f t="shared" si="46"/>
        <v>ID.SC-53</v>
      </c>
      <c r="H140" s="296" t="str">
        <f t="shared" ca="1" si="47"/>
        <v>ID.SC-530</v>
      </c>
    </row>
    <row r="141" spans="1:8" ht="14" x14ac:dyDescent="0.3">
      <c r="A141" s="293">
        <v>162</v>
      </c>
      <c r="B141" s="293" t="s">
        <v>1091</v>
      </c>
      <c r="C141" s="294" t="s">
        <v>1094</v>
      </c>
      <c r="D141" s="294" t="s">
        <v>279</v>
      </c>
      <c r="E141" s="294">
        <v>3</v>
      </c>
      <c r="F141" s="250">
        <f ca="1">VLOOKUP($D141,Data!$C:$I,7,FALSE)</f>
        <v>0</v>
      </c>
      <c r="G141" s="296" t="str">
        <f t="shared" si="46"/>
        <v>ID.SC-53</v>
      </c>
      <c r="H141" s="296" t="str">
        <f t="shared" ca="1" si="47"/>
        <v>ID.SC-530</v>
      </c>
    </row>
    <row r="142" spans="1:8" ht="14" x14ac:dyDescent="0.3">
      <c r="A142" s="293">
        <v>164</v>
      </c>
      <c r="B142" s="293" t="s">
        <v>1095</v>
      </c>
      <c r="C142" s="293" t="s">
        <v>1096</v>
      </c>
      <c r="D142" s="295" t="s">
        <v>161</v>
      </c>
      <c r="E142" s="295">
        <v>1</v>
      </c>
      <c r="F142" s="250">
        <f ca="1">VLOOKUP($D142,Data!$C:$I,7,FALSE)</f>
        <v>0</v>
      </c>
      <c r="G142" s="296" t="str">
        <f t="shared" si="46"/>
        <v>PR.AC-11</v>
      </c>
      <c r="H142" s="296" t="str">
        <f t="shared" ca="1" si="47"/>
        <v>PR.AC-110</v>
      </c>
    </row>
    <row r="143" spans="1:8" ht="14" x14ac:dyDescent="0.3">
      <c r="A143" s="293">
        <v>165</v>
      </c>
      <c r="B143" s="293" t="s">
        <v>1095</v>
      </c>
      <c r="C143" s="293" t="s">
        <v>1097</v>
      </c>
      <c r="D143" s="295" t="s">
        <v>163</v>
      </c>
      <c r="E143" s="295">
        <v>1</v>
      </c>
      <c r="F143" s="250">
        <f ca="1">VLOOKUP($D143,Data!$C:$I,7,FALSE)</f>
        <v>0</v>
      </c>
      <c r="G143" s="296" t="str">
        <f t="shared" si="46"/>
        <v>PR.AC-11</v>
      </c>
      <c r="H143" s="296" t="str">
        <f t="shared" ca="1" si="47"/>
        <v>PR.AC-110</v>
      </c>
    </row>
    <row r="144" spans="1:8" ht="14" x14ac:dyDescent="0.3">
      <c r="A144" s="293">
        <v>166</v>
      </c>
      <c r="B144" s="293" t="s">
        <v>1095</v>
      </c>
      <c r="C144" s="293" t="s">
        <v>1098</v>
      </c>
      <c r="D144" s="295" t="s">
        <v>164</v>
      </c>
      <c r="E144" s="295">
        <v>1</v>
      </c>
      <c r="F144" s="250">
        <f ca="1">VLOOKUP($D144,Data!$C:$I,7,FALSE)</f>
        <v>0</v>
      </c>
      <c r="G144" s="296" t="str">
        <f t="shared" si="46"/>
        <v>PR.AC-11</v>
      </c>
      <c r="H144" s="296" t="str">
        <f t="shared" ca="1" si="47"/>
        <v>PR.AC-110</v>
      </c>
    </row>
    <row r="145" spans="1:8" ht="14" x14ac:dyDescent="0.3">
      <c r="A145" s="293">
        <v>167</v>
      </c>
      <c r="B145" s="293" t="s">
        <v>1095</v>
      </c>
      <c r="C145" s="293" t="s">
        <v>1099</v>
      </c>
      <c r="D145" s="295" t="s">
        <v>165</v>
      </c>
      <c r="E145" s="295">
        <v>2</v>
      </c>
      <c r="F145" s="250">
        <f ca="1">VLOOKUP($D145,Data!$C:$I,7,FALSE)</f>
        <v>0</v>
      </c>
      <c r="G145" s="296" t="str">
        <f t="shared" si="46"/>
        <v>PR.AC-12</v>
      </c>
      <c r="H145" s="296" t="str">
        <f t="shared" ca="1" si="47"/>
        <v>PR.AC-120</v>
      </c>
    </row>
    <row r="146" spans="1:8" ht="14" x14ac:dyDescent="0.3">
      <c r="A146" s="293">
        <v>168</v>
      </c>
      <c r="B146" s="293" t="s">
        <v>1095</v>
      </c>
      <c r="C146" s="293" t="s">
        <v>1100</v>
      </c>
      <c r="D146" s="295" t="s">
        <v>166</v>
      </c>
      <c r="E146" s="295">
        <v>2</v>
      </c>
      <c r="F146" s="250">
        <f ca="1">VLOOKUP($D146,Data!$C:$I,7,FALSE)</f>
        <v>0</v>
      </c>
      <c r="G146" s="296" t="str">
        <f t="shared" si="46"/>
        <v>PR.AC-12</v>
      </c>
      <c r="H146" s="296" t="str">
        <f t="shared" ca="1" si="47"/>
        <v>PR.AC-120</v>
      </c>
    </row>
    <row r="147" spans="1:8" ht="14" x14ac:dyDescent="0.3">
      <c r="A147" s="293">
        <v>169</v>
      </c>
      <c r="B147" s="293" t="s">
        <v>1095</v>
      </c>
      <c r="C147" s="293" t="s">
        <v>1101</v>
      </c>
      <c r="D147" s="295" t="s">
        <v>167</v>
      </c>
      <c r="E147" s="295">
        <v>2</v>
      </c>
      <c r="F147" s="250">
        <f ca="1">VLOOKUP($D147,Data!$C:$I,7,FALSE)</f>
        <v>0</v>
      </c>
      <c r="G147" s="296" t="str">
        <f t="shared" si="46"/>
        <v>PR.AC-12</v>
      </c>
      <c r="H147" s="296" t="str">
        <f t="shared" ca="1" si="47"/>
        <v>PR.AC-120</v>
      </c>
    </row>
    <row r="148" spans="1:8" ht="14" x14ac:dyDescent="0.3">
      <c r="A148" s="293">
        <v>170</v>
      </c>
      <c r="B148" s="293" t="s">
        <v>1095</v>
      </c>
      <c r="C148" s="293" t="s">
        <v>1017</v>
      </c>
      <c r="D148" s="295" t="s">
        <v>65</v>
      </c>
      <c r="E148" s="295">
        <v>2</v>
      </c>
      <c r="F148" s="250">
        <f ca="1">VLOOKUP($D148,Data!$C:$I,7,FALSE)</f>
        <v>0</v>
      </c>
      <c r="G148" s="296" t="str">
        <f t="shared" si="46"/>
        <v>PR.AC-12</v>
      </c>
      <c r="H148" s="296" t="str">
        <f t="shared" ca="1" si="47"/>
        <v>PR.AC-120</v>
      </c>
    </row>
    <row r="149" spans="1:8" ht="14" x14ac:dyDescent="0.3">
      <c r="A149" s="293">
        <v>171</v>
      </c>
      <c r="B149" s="293" t="s">
        <v>1095</v>
      </c>
      <c r="C149" s="293" t="s">
        <v>1102</v>
      </c>
      <c r="D149" s="295" t="s">
        <v>168</v>
      </c>
      <c r="E149" s="295">
        <v>3</v>
      </c>
      <c r="F149" s="250">
        <f ca="1">VLOOKUP($D149,Data!$C:$I,7,FALSE)</f>
        <v>0</v>
      </c>
      <c r="G149" s="296" t="str">
        <f t="shared" si="46"/>
        <v>PR.AC-13</v>
      </c>
      <c r="H149" s="296" t="str">
        <f t="shared" ca="1" si="47"/>
        <v>PR.AC-130</v>
      </c>
    </row>
    <row r="150" spans="1:8" ht="14" x14ac:dyDescent="0.3">
      <c r="A150" s="293">
        <v>172</v>
      </c>
      <c r="B150" s="293" t="s">
        <v>1103</v>
      </c>
      <c r="C150" s="293" t="s">
        <v>1104</v>
      </c>
      <c r="D150" s="295" t="s">
        <v>169</v>
      </c>
      <c r="E150" s="295">
        <v>1</v>
      </c>
      <c r="F150" s="250">
        <f ca="1">VLOOKUP($D150,Data!$C:$I,7,FALSE)</f>
        <v>0</v>
      </c>
      <c r="G150" s="296" t="str">
        <f t="shared" si="46"/>
        <v>PR.AC-21</v>
      </c>
      <c r="H150" s="296" t="str">
        <f t="shared" ca="1" si="47"/>
        <v>PR.AC-210</v>
      </c>
    </row>
    <row r="151" spans="1:8" ht="14" x14ac:dyDescent="0.3">
      <c r="A151" s="293">
        <v>173</v>
      </c>
      <c r="B151" s="293" t="s">
        <v>1103</v>
      </c>
      <c r="C151" s="293" t="s">
        <v>1105</v>
      </c>
      <c r="D151" s="295" t="s">
        <v>170</v>
      </c>
      <c r="E151" s="295">
        <v>1</v>
      </c>
      <c r="F151" s="250">
        <f ca="1">VLOOKUP($D151,Data!$C:$I,7,FALSE)</f>
        <v>0</v>
      </c>
      <c r="G151" s="296" t="str">
        <f t="shared" si="46"/>
        <v>PR.AC-21</v>
      </c>
      <c r="H151" s="296" t="str">
        <f t="shared" ca="1" si="47"/>
        <v>PR.AC-210</v>
      </c>
    </row>
    <row r="152" spans="1:8" ht="14" x14ac:dyDescent="0.3">
      <c r="A152" s="293">
        <v>174</v>
      </c>
      <c r="B152" s="293" t="s">
        <v>1103</v>
      </c>
      <c r="C152" s="293" t="s">
        <v>1106</v>
      </c>
      <c r="D152" s="295" t="s">
        <v>171</v>
      </c>
      <c r="E152" s="295">
        <v>1</v>
      </c>
      <c r="F152" s="250">
        <f ca="1">VLOOKUP($D152,Data!$C:$I,7,FALSE)</f>
        <v>0</v>
      </c>
      <c r="G152" s="296" t="str">
        <f t="shared" si="46"/>
        <v>PR.AC-21</v>
      </c>
      <c r="H152" s="296" t="str">
        <f t="shared" ca="1" si="47"/>
        <v>PR.AC-210</v>
      </c>
    </row>
    <row r="153" spans="1:8" ht="14" x14ac:dyDescent="0.3">
      <c r="A153" s="293">
        <v>175</v>
      </c>
      <c r="B153" s="293" t="s">
        <v>1103</v>
      </c>
      <c r="C153" s="293" t="s">
        <v>1107</v>
      </c>
      <c r="D153" s="295" t="s">
        <v>172</v>
      </c>
      <c r="E153" s="295">
        <v>2</v>
      </c>
      <c r="F153" s="250">
        <f ca="1">VLOOKUP($D153,Data!$C:$I,7,FALSE)</f>
        <v>0</v>
      </c>
      <c r="G153" s="296" t="str">
        <f t="shared" si="46"/>
        <v>PR.AC-22</v>
      </c>
      <c r="H153" s="296" t="str">
        <f t="shared" ca="1" si="47"/>
        <v>PR.AC-220</v>
      </c>
    </row>
    <row r="154" spans="1:8" ht="14" x14ac:dyDescent="0.3">
      <c r="A154" s="293">
        <v>176</v>
      </c>
      <c r="B154" s="293" t="s">
        <v>1103</v>
      </c>
      <c r="C154" s="293" t="s">
        <v>1108</v>
      </c>
      <c r="D154" s="295" t="s">
        <v>173</v>
      </c>
      <c r="E154" s="295">
        <v>2</v>
      </c>
      <c r="F154" s="250">
        <f ca="1">VLOOKUP($D154,Data!$C:$I,7,FALSE)</f>
        <v>0</v>
      </c>
      <c r="G154" s="296" t="str">
        <f t="shared" si="46"/>
        <v>PR.AC-22</v>
      </c>
      <c r="H154" s="296" t="str">
        <f t="shared" ca="1" si="47"/>
        <v>PR.AC-220</v>
      </c>
    </row>
    <row r="155" spans="1:8" ht="14" x14ac:dyDescent="0.3">
      <c r="A155" s="293">
        <v>177</v>
      </c>
      <c r="B155" s="293" t="s">
        <v>1103</v>
      </c>
      <c r="C155" s="293" t="s">
        <v>1109</v>
      </c>
      <c r="D155" s="295" t="s">
        <v>174</v>
      </c>
      <c r="E155" s="295">
        <v>2</v>
      </c>
      <c r="F155" s="250">
        <f ca="1">VLOOKUP($D155,Data!$C:$I,7,FALSE)</f>
        <v>0</v>
      </c>
      <c r="G155" s="296" t="str">
        <f t="shared" si="46"/>
        <v>PR.AC-22</v>
      </c>
      <c r="H155" s="296" t="str">
        <f t="shared" ca="1" si="47"/>
        <v>PR.AC-220</v>
      </c>
    </row>
    <row r="156" spans="1:8" ht="14" x14ac:dyDescent="0.3">
      <c r="A156" s="293">
        <v>178</v>
      </c>
      <c r="B156" s="293" t="s">
        <v>1103</v>
      </c>
      <c r="C156" s="293" t="s">
        <v>1110</v>
      </c>
      <c r="D156" s="295" t="s">
        <v>175</v>
      </c>
      <c r="E156" s="295">
        <v>3</v>
      </c>
      <c r="F156" s="250">
        <f ca="1">VLOOKUP($D156,Data!$C:$I,7,FALSE)</f>
        <v>0</v>
      </c>
      <c r="G156" s="296" t="str">
        <f t="shared" si="46"/>
        <v>PR.AC-23</v>
      </c>
      <c r="H156" s="296" t="str">
        <f t="shared" ca="1" si="47"/>
        <v>PR.AC-230</v>
      </c>
    </row>
    <row r="157" spans="1:8" ht="14" x14ac:dyDescent="0.3">
      <c r="A157" s="293">
        <v>179</v>
      </c>
      <c r="B157" s="293" t="s">
        <v>1111</v>
      </c>
      <c r="C157" s="293" t="s">
        <v>1104</v>
      </c>
      <c r="D157" s="295" t="s">
        <v>169</v>
      </c>
      <c r="E157" s="295">
        <v>1</v>
      </c>
      <c r="F157" s="250">
        <f ca="1">VLOOKUP($D157,Data!$C:$I,7,FALSE)</f>
        <v>0</v>
      </c>
      <c r="G157" s="296" t="str">
        <f t="shared" si="46"/>
        <v>PR.AC-31</v>
      </c>
      <c r="H157" s="296" t="str">
        <f t="shared" ca="1" si="47"/>
        <v>PR.AC-310</v>
      </c>
    </row>
    <row r="158" spans="1:8" ht="14" x14ac:dyDescent="0.3">
      <c r="A158" s="293">
        <v>180</v>
      </c>
      <c r="B158" s="293" t="s">
        <v>1111</v>
      </c>
      <c r="C158" s="293" t="s">
        <v>1105</v>
      </c>
      <c r="D158" s="295" t="s">
        <v>170</v>
      </c>
      <c r="E158" s="295">
        <v>1</v>
      </c>
      <c r="F158" s="250">
        <f ca="1">VLOOKUP($D158,Data!$C:$I,7,FALSE)</f>
        <v>0</v>
      </c>
      <c r="G158" s="296" t="str">
        <f t="shared" si="46"/>
        <v>PR.AC-31</v>
      </c>
      <c r="H158" s="296" t="str">
        <f t="shared" ca="1" si="47"/>
        <v>PR.AC-310</v>
      </c>
    </row>
    <row r="159" spans="1:8" ht="14" x14ac:dyDescent="0.3">
      <c r="A159" s="293">
        <v>181</v>
      </c>
      <c r="B159" s="293" t="s">
        <v>1111</v>
      </c>
      <c r="C159" s="293" t="s">
        <v>1106</v>
      </c>
      <c r="D159" s="295" t="s">
        <v>171</v>
      </c>
      <c r="E159" s="295">
        <v>1</v>
      </c>
      <c r="F159" s="250">
        <f ca="1">VLOOKUP($D159,Data!$C:$I,7,FALSE)</f>
        <v>0</v>
      </c>
      <c r="G159" s="296" t="str">
        <f t="shared" si="46"/>
        <v>PR.AC-31</v>
      </c>
      <c r="H159" s="296" t="str">
        <f t="shared" ca="1" si="47"/>
        <v>PR.AC-310</v>
      </c>
    </row>
    <row r="160" spans="1:8" ht="14" x14ac:dyDescent="0.3">
      <c r="A160" s="293">
        <v>182</v>
      </c>
      <c r="B160" s="293" t="s">
        <v>1111</v>
      </c>
      <c r="C160" s="293" t="s">
        <v>1107</v>
      </c>
      <c r="D160" s="295" t="s">
        <v>172</v>
      </c>
      <c r="E160" s="295">
        <v>2</v>
      </c>
      <c r="F160" s="250">
        <f ca="1">VLOOKUP($D160,Data!$C:$I,7,FALSE)</f>
        <v>0</v>
      </c>
      <c r="G160" s="296" t="str">
        <f t="shared" si="46"/>
        <v>PR.AC-32</v>
      </c>
      <c r="H160" s="296" t="str">
        <f t="shared" ca="1" si="47"/>
        <v>PR.AC-320</v>
      </c>
    </row>
    <row r="161" spans="1:8" ht="14" x14ac:dyDescent="0.3">
      <c r="A161" s="293">
        <v>183</v>
      </c>
      <c r="B161" s="293" t="s">
        <v>1111</v>
      </c>
      <c r="C161" s="293" t="s">
        <v>1108</v>
      </c>
      <c r="D161" s="295" t="s">
        <v>173</v>
      </c>
      <c r="E161" s="295">
        <v>2</v>
      </c>
      <c r="F161" s="250">
        <f ca="1">VLOOKUP($D161,Data!$C:$I,7,FALSE)</f>
        <v>0</v>
      </c>
      <c r="G161" s="296" t="str">
        <f t="shared" si="46"/>
        <v>PR.AC-32</v>
      </c>
      <c r="H161" s="296" t="str">
        <f t="shared" ca="1" si="47"/>
        <v>PR.AC-320</v>
      </c>
    </row>
    <row r="162" spans="1:8" ht="14" x14ac:dyDescent="0.3">
      <c r="A162" s="293">
        <v>184</v>
      </c>
      <c r="B162" s="293" t="s">
        <v>1111</v>
      </c>
      <c r="C162" s="293" t="s">
        <v>1109</v>
      </c>
      <c r="D162" s="295" t="s">
        <v>174</v>
      </c>
      <c r="E162" s="295">
        <v>2</v>
      </c>
      <c r="F162" s="250">
        <f ca="1">VLOOKUP($D162,Data!$C:$I,7,FALSE)</f>
        <v>0</v>
      </c>
      <c r="G162" s="296" t="str">
        <f t="shared" si="46"/>
        <v>PR.AC-32</v>
      </c>
      <c r="H162" s="296" t="str">
        <f t="shared" ca="1" si="47"/>
        <v>PR.AC-320</v>
      </c>
    </row>
    <row r="163" spans="1:8" ht="14" x14ac:dyDescent="0.3">
      <c r="A163" s="293">
        <v>185</v>
      </c>
      <c r="B163" s="293" t="s">
        <v>1111</v>
      </c>
      <c r="C163" s="293" t="s">
        <v>1110</v>
      </c>
      <c r="D163" s="295" t="s">
        <v>175</v>
      </c>
      <c r="E163" s="295">
        <v>3</v>
      </c>
      <c r="F163" s="250">
        <f ca="1">VLOOKUP($D163,Data!$C:$I,7,FALSE)</f>
        <v>0</v>
      </c>
      <c r="G163" s="296" t="str">
        <f t="shared" si="46"/>
        <v>PR.AC-33</v>
      </c>
      <c r="H163" s="296" t="str">
        <f t="shared" ca="1" si="47"/>
        <v>PR.AC-330</v>
      </c>
    </row>
    <row r="164" spans="1:8" ht="14" x14ac:dyDescent="0.3">
      <c r="A164" s="293">
        <v>186</v>
      </c>
      <c r="B164" s="293" t="s">
        <v>1112</v>
      </c>
      <c r="C164" s="293" t="s">
        <v>1107</v>
      </c>
      <c r="D164" s="295" t="s">
        <v>172</v>
      </c>
      <c r="E164" s="295">
        <v>2</v>
      </c>
      <c r="F164" s="250">
        <f ca="1">VLOOKUP($D164,Data!$C:$I,7,FALSE)</f>
        <v>0</v>
      </c>
      <c r="G164" s="296" t="str">
        <f t="shared" si="46"/>
        <v>PR.AC-42</v>
      </c>
      <c r="H164" s="296" t="str">
        <f t="shared" ca="1" si="47"/>
        <v>PR.AC-420</v>
      </c>
    </row>
    <row r="165" spans="1:8" ht="14" x14ac:dyDescent="0.3">
      <c r="A165" s="293">
        <v>187</v>
      </c>
      <c r="B165" s="293" t="s">
        <v>1113</v>
      </c>
      <c r="C165" s="293" t="s">
        <v>1114</v>
      </c>
      <c r="D165" s="295" t="s">
        <v>351</v>
      </c>
      <c r="E165" s="295">
        <v>2</v>
      </c>
      <c r="F165" s="250">
        <f ca="1">VLOOKUP($D165,Data!$C:$I,7,FALSE)</f>
        <v>0</v>
      </c>
      <c r="G165" s="296" t="str">
        <f t="shared" si="46"/>
        <v>PR.AC-52</v>
      </c>
      <c r="H165" s="296" t="str">
        <f t="shared" ca="1" si="47"/>
        <v>PR.AC-520</v>
      </c>
    </row>
    <row r="166" spans="1:8" ht="14" x14ac:dyDescent="0.3">
      <c r="A166" s="293">
        <v>188</v>
      </c>
      <c r="B166" s="293" t="s">
        <v>1113</v>
      </c>
      <c r="C166" s="293" t="s">
        <v>1115</v>
      </c>
      <c r="D166" s="295" t="s">
        <v>354</v>
      </c>
      <c r="E166" s="295">
        <v>2</v>
      </c>
      <c r="F166" s="250">
        <f ca="1">VLOOKUP($D166,Data!$C:$I,7,FALSE)</f>
        <v>0</v>
      </c>
      <c r="G166" s="296" t="str">
        <f t="shared" si="46"/>
        <v>PR.AC-52</v>
      </c>
      <c r="H166" s="296" t="str">
        <f t="shared" ca="1" si="47"/>
        <v>PR.AC-520</v>
      </c>
    </row>
    <row r="167" spans="1:8" ht="14" x14ac:dyDescent="0.3">
      <c r="A167" s="293">
        <v>189</v>
      </c>
      <c r="B167" s="293" t="s">
        <v>1113</v>
      </c>
      <c r="C167" s="293" t="s">
        <v>1116</v>
      </c>
      <c r="D167" s="295" t="s">
        <v>358</v>
      </c>
      <c r="E167" s="295">
        <v>1</v>
      </c>
      <c r="F167" s="250">
        <f ca="1">VLOOKUP($D167,Data!$C:$I,7,FALSE)</f>
        <v>0</v>
      </c>
      <c r="G167" s="296" t="str">
        <f t="shared" si="46"/>
        <v>PR.AC-51</v>
      </c>
      <c r="H167" s="296" t="str">
        <f t="shared" ca="1" si="47"/>
        <v>PR.AC-510</v>
      </c>
    </row>
    <row r="168" spans="1:8" ht="14" x14ac:dyDescent="0.3">
      <c r="A168" s="293">
        <v>191</v>
      </c>
      <c r="B168" s="293" t="s">
        <v>1117</v>
      </c>
      <c r="C168" s="293" t="s">
        <v>1100</v>
      </c>
      <c r="D168" s="295" t="s">
        <v>166</v>
      </c>
      <c r="E168" s="295">
        <v>2</v>
      </c>
      <c r="F168" s="250">
        <f ca="1">VLOOKUP($D168,Data!$C:$I,7,FALSE)</f>
        <v>0</v>
      </c>
      <c r="G168" s="296" t="str">
        <f t="shared" si="46"/>
        <v>PR.AC-62</v>
      </c>
      <c r="H168" s="296" t="str">
        <f t="shared" ca="1" si="47"/>
        <v>PR.AC-620</v>
      </c>
    </row>
    <row r="169" spans="1:8" ht="14" x14ac:dyDescent="0.3">
      <c r="A169" s="293">
        <v>192</v>
      </c>
      <c r="B169" s="293" t="s">
        <v>1118</v>
      </c>
      <c r="C169" s="293" t="s">
        <v>1104</v>
      </c>
      <c r="D169" s="295" t="s">
        <v>169</v>
      </c>
      <c r="E169" s="295">
        <v>1</v>
      </c>
      <c r="F169" s="250">
        <f ca="1">VLOOKUP($D169,Data!$C:$I,7,FALSE)</f>
        <v>0</v>
      </c>
      <c r="G169" s="296" t="str">
        <f t="shared" si="46"/>
        <v>PR.AC-71</v>
      </c>
      <c r="H169" s="296" t="str">
        <f t="shared" ca="1" si="47"/>
        <v>PR.AC-710</v>
      </c>
    </row>
    <row r="170" spans="1:8" ht="14" x14ac:dyDescent="0.3">
      <c r="A170" s="293">
        <v>193</v>
      </c>
      <c r="B170" s="293" t="s">
        <v>1118</v>
      </c>
      <c r="C170" s="293" t="s">
        <v>1102</v>
      </c>
      <c r="D170" s="295" t="s">
        <v>168</v>
      </c>
      <c r="E170" s="295">
        <v>3</v>
      </c>
      <c r="F170" s="250">
        <f ca="1">VLOOKUP($D170,Data!$C:$I,7,FALSE)</f>
        <v>0</v>
      </c>
      <c r="G170" s="296" t="str">
        <f t="shared" si="46"/>
        <v>PR.AC-73</v>
      </c>
      <c r="H170" s="296" t="str">
        <f t="shared" ca="1" si="47"/>
        <v>PR.AC-730</v>
      </c>
    </row>
    <row r="171" spans="1:8" ht="14" x14ac:dyDescent="0.3">
      <c r="A171" s="293">
        <v>194</v>
      </c>
      <c r="B171" s="293" t="s">
        <v>989</v>
      </c>
      <c r="C171" s="293" t="s">
        <v>1119</v>
      </c>
      <c r="D171" s="295" t="s">
        <v>325</v>
      </c>
      <c r="E171" s="295">
        <v>1</v>
      </c>
      <c r="F171" s="250">
        <f ca="1">VLOOKUP($D171,Data!$C:$I,7,FALSE)</f>
        <v>0</v>
      </c>
      <c r="G171" s="296" t="str">
        <f t="shared" si="46"/>
        <v>PR.AT-11</v>
      </c>
      <c r="H171" s="296" t="str">
        <f t="shared" ca="1" si="47"/>
        <v>PR.AT-110</v>
      </c>
    </row>
    <row r="172" spans="1:8" ht="14" x14ac:dyDescent="0.3">
      <c r="A172" s="293">
        <v>195</v>
      </c>
      <c r="B172" s="293" t="s">
        <v>989</v>
      </c>
      <c r="C172" s="293" t="s">
        <v>1120</v>
      </c>
      <c r="D172" s="295" t="s">
        <v>337</v>
      </c>
      <c r="E172" s="295">
        <v>1</v>
      </c>
      <c r="F172" s="250">
        <f ca="1">VLOOKUP($D172,Data!$C:$I,7,FALSE)</f>
        <v>0</v>
      </c>
      <c r="G172" s="296" t="str">
        <f t="shared" si="46"/>
        <v>PR.AT-11</v>
      </c>
      <c r="H172" s="296" t="str">
        <f t="shared" ca="1" si="47"/>
        <v>PR.AT-110</v>
      </c>
    </row>
    <row r="173" spans="1:8" ht="14" x14ac:dyDescent="0.3">
      <c r="A173" s="293">
        <v>196</v>
      </c>
      <c r="B173" s="293" t="s">
        <v>989</v>
      </c>
      <c r="C173" s="293" t="s">
        <v>1121</v>
      </c>
      <c r="D173" s="295" t="s">
        <v>326</v>
      </c>
      <c r="E173" s="295">
        <v>1</v>
      </c>
      <c r="F173" s="250">
        <f ca="1">VLOOKUP($D173,Data!$C:$I,7,FALSE)</f>
        <v>0</v>
      </c>
      <c r="G173" s="296" t="str">
        <f t="shared" si="46"/>
        <v>PR.AT-11</v>
      </c>
      <c r="H173" s="296" t="str">
        <f t="shared" ca="1" si="47"/>
        <v>PR.AT-110</v>
      </c>
    </row>
    <row r="174" spans="1:8" ht="14" x14ac:dyDescent="0.3">
      <c r="A174" s="293">
        <v>197</v>
      </c>
      <c r="B174" s="293" t="s">
        <v>989</v>
      </c>
      <c r="C174" s="293" t="s">
        <v>1122</v>
      </c>
      <c r="D174" s="295" t="s">
        <v>327</v>
      </c>
      <c r="E174" s="295">
        <v>2</v>
      </c>
      <c r="F174" s="250">
        <f ca="1">VLOOKUP($D174,Data!$C:$I,7,FALSE)</f>
        <v>0</v>
      </c>
      <c r="G174" s="296" t="str">
        <f t="shared" si="46"/>
        <v>PR.AT-12</v>
      </c>
      <c r="H174" s="296" t="str">
        <f t="shared" ca="1" si="47"/>
        <v>PR.AT-120</v>
      </c>
    </row>
    <row r="175" spans="1:8" ht="14" x14ac:dyDescent="0.3">
      <c r="A175" s="293">
        <v>198</v>
      </c>
      <c r="B175" s="293" t="s">
        <v>989</v>
      </c>
      <c r="C175" s="293" t="s">
        <v>1123</v>
      </c>
      <c r="D175" s="295" t="s">
        <v>328</v>
      </c>
      <c r="E175" s="295">
        <v>2</v>
      </c>
      <c r="F175" s="250">
        <f ca="1">VLOOKUP($D175,Data!$C:$I,7,FALSE)</f>
        <v>0</v>
      </c>
      <c r="G175" s="296" t="str">
        <f t="shared" si="46"/>
        <v>PR.AT-12</v>
      </c>
      <c r="H175" s="296" t="str">
        <f t="shared" ca="1" si="47"/>
        <v>PR.AT-120</v>
      </c>
    </row>
    <row r="176" spans="1:8" ht="14" x14ac:dyDescent="0.3">
      <c r="A176" s="293">
        <v>200</v>
      </c>
      <c r="B176" s="293" t="s">
        <v>989</v>
      </c>
      <c r="C176" s="293" t="s">
        <v>1124</v>
      </c>
      <c r="D176" s="295" t="s">
        <v>329</v>
      </c>
      <c r="E176" s="295">
        <v>3</v>
      </c>
      <c r="F176" s="250">
        <f ca="1">VLOOKUP($D176,Data!$C:$I,7,FALSE)</f>
        <v>0</v>
      </c>
      <c r="G176" s="296" t="str">
        <f t="shared" si="46"/>
        <v>PR.AT-13</v>
      </c>
      <c r="H176" s="296" t="str">
        <f t="shared" ca="1" si="47"/>
        <v>PR.AT-130</v>
      </c>
    </row>
    <row r="177" spans="1:8" ht="14" x14ac:dyDescent="0.3">
      <c r="A177" s="293">
        <v>201</v>
      </c>
      <c r="B177" s="293" t="s">
        <v>989</v>
      </c>
      <c r="C177" s="293" t="s">
        <v>1125</v>
      </c>
      <c r="D177" s="295" t="s">
        <v>330</v>
      </c>
      <c r="E177" s="295">
        <v>3</v>
      </c>
      <c r="F177" s="250">
        <f ca="1">VLOOKUP($D177,Data!$C:$I,7,FALSE)</f>
        <v>0</v>
      </c>
      <c r="G177" s="296" t="str">
        <f t="shared" si="46"/>
        <v>PR.AT-13</v>
      </c>
      <c r="H177" s="296" t="str">
        <f t="shared" ca="1" si="47"/>
        <v>PR.AT-130</v>
      </c>
    </row>
    <row r="178" spans="1:8" ht="14" x14ac:dyDescent="0.3">
      <c r="A178" s="293">
        <v>202</v>
      </c>
      <c r="B178" s="293" t="s">
        <v>990</v>
      </c>
      <c r="C178" s="293" t="s">
        <v>1020</v>
      </c>
      <c r="D178" s="295" t="s">
        <v>319</v>
      </c>
      <c r="E178" s="295">
        <v>1</v>
      </c>
      <c r="F178" s="250">
        <f ca="1">VLOOKUP($D178,Data!$C:$I,7,FALSE)</f>
        <v>0</v>
      </c>
      <c r="G178" s="296" t="str">
        <f t="shared" si="46"/>
        <v>PR.AT-21</v>
      </c>
      <c r="H178" s="296" t="str">
        <f t="shared" ca="1" si="47"/>
        <v>PR.AT-210</v>
      </c>
    </row>
    <row r="179" spans="1:8" ht="14" x14ac:dyDescent="0.3">
      <c r="A179" s="293">
        <v>203</v>
      </c>
      <c r="B179" s="293" t="s">
        <v>990</v>
      </c>
      <c r="C179" s="293" t="s">
        <v>1021</v>
      </c>
      <c r="D179" s="295" t="s">
        <v>320</v>
      </c>
      <c r="E179" s="295">
        <v>1</v>
      </c>
      <c r="F179" s="250">
        <f ca="1">VLOOKUP($D179,Data!$C:$I,7,FALSE)</f>
        <v>0</v>
      </c>
      <c r="G179" s="296" t="str">
        <f t="shared" si="46"/>
        <v>PR.AT-21</v>
      </c>
      <c r="H179" s="296" t="str">
        <f t="shared" ca="1" si="47"/>
        <v>PR.AT-210</v>
      </c>
    </row>
    <row r="180" spans="1:8" ht="14" x14ac:dyDescent="0.3">
      <c r="A180" s="293">
        <v>204</v>
      </c>
      <c r="B180" s="293" t="s">
        <v>990</v>
      </c>
      <c r="C180" s="293" t="s">
        <v>1022</v>
      </c>
      <c r="D180" s="295" t="s">
        <v>321</v>
      </c>
      <c r="E180" s="295">
        <v>2</v>
      </c>
      <c r="F180" s="250">
        <f ca="1">VLOOKUP($D180,Data!$C:$I,7,FALSE)</f>
        <v>0</v>
      </c>
      <c r="G180" s="296" t="str">
        <f t="shared" si="46"/>
        <v>PR.AT-22</v>
      </c>
      <c r="H180" s="296" t="str">
        <f t="shared" ca="1" si="47"/>
        <v>PR.AT-220</v>
      </c>
    </row>
    <row r="181" spans="1:8" ht="14" x14ac:dyDescent="0.3">
      <c r="A181" s="293">
        <v>205</v>
      </c>
      <c r="B181" s="293" t="s">
        <v>990</v>
      </c>
      <c r="C181" s="293" t="s">
        <v>1126</v>
      </c>
      <c r="D181" s="295" t="s">
        <v>322</v>
      </c>
      <c r="E181" s="295">
        <v>2</v>
      </c>
      <c r="F181" s="250">
        <f ca="1">VLOOKUP($D181,Data!$C:$I,7,FALSE)</f>
        <v>0</v>
      </c>
      <c r="G181" s="296" t="str">
        <f t="shared" si="46"/>
        <v>PR.AT-22</v>
      </c>
      <c r="H181" s="296" t="str">
        <f t="shared" ca="1" si="47"/>
        <v>PR.AT-220</v>
      </c>
    </row>
    <row r="182" spans="1:8" ht="14" x14ac:dyDescent="0.3">
      <c r="A182" s="293">
        <v>206</v>
      </c>
      <c r="B182" s="293" t="s">
        <v>990</v>
      </c>
      <c r="C182" s="293" t="s">
        <v>1040</v>
      </c>
      <c r="D182" s="295" t="s">
        <v>323</v>
      </c>
      <c r="E182" s="295">
        <v>3</v>
      </c>
      <c r="F182" s="250">
        <f ca="1">VLOOKUP($D182,Data!$C:$I,7,FALSE)</f>
        <v>0</v>
      </c>
      <c r="G182" s="296" t="str">
        <f t="shared" si="46"/>
        <v>PR.AT-23</v>
      </c>
      <c r="H182" s="296" t="str">
        <f t="shared" ca="1" si="47"/>
        <v>PR.AT-230</v>
      </c>
    </row>
    <row r="183" spans="1:8" ht="14" x14ac:dyDescent="0.3">
      <c r="A183" s="293">
        <v>208</v>
      </c>
      <c r="B183" s="293" t="s">
        <v>990</v>
      </c>
      <c r="C183" s="293" t="s">
        <v>1041</v>
      </c>
      <c r="D183" s="295" t="s">
        <v>324</v>
      </c>
      <c r="E183" s="295">
        <v>3</v>
      </c>
      <c r="F183" s="250">
        <f ca="1">VLOOKUP($D183,Data!$C:$I,7,FALSE)</f>
        <v>0</v>
      </c>
      <c r="G183" s="296" t="str">
        <f t="shared" si="46"/>
        <v>PR.AT-23</v>
      </c>
      <c r="H183" s="296" t="str">
        <f t="shared" ca="1" si="47"/>
        <v>PR.AT-230</v>
      </c>
    </row>
    <row r="184" spans="1:8" ht="14" x14ac:dyDescent="0.3">
      <c r="A184" s="293">
        <v>209</v>
      </c>
      <c r="B184" s="293" t="s">
        <v>991</v>
      </c>
      <c r="C184" s="293" t="s">
        <v>1020</v>
      </c>
      <c r="D184" s="295" t="s">
        <v>319</v>
      </c>
      <c r="E184" s="295">
        <v>1</v>
      </c>
      <c r="F184" s="250">
        <f ca="1">VLOOKUP($D184,Data!$C:$I,7,FALSE)</f>
        <v>0</v>
      </c>
      <c r="G184" s="296" t="str">
        <f t="shared" si="46"/>
        <v>PR.AT-31</v>
      </c>
      <c r="H184" s="296" t="str">
        <f t="shared" ca="1" si="47"/>
        <v>PR.AT-310</v>
      </c>
    </row>
    <row r="185" spans="1:8" ht="14" x14ac:dyDescent="0.3">
      <c r="A185" s="293">
        <v>210</v>
      </c>
      <c r="B185" s="293" t="s">
        <v>991</v>
      </c>
      <c r="C185" s="293" t="s">
        <v>1021</v>
      </c>
      <c r="D185" s="295" t="s">
        <v>320</v>
      </c>
      <c r="E185" s="295">
        <v>1</v>
      </c>
      <c r="F185" s="250">
        <f ca="1">VLOOKUP($D185,Data!$C:$I,7,FALSE)</f>
        <v>0</v>
      </c>
      <c r="G185" s="296" t="str">
        <f t="shared" si="46"/>
        <v>PR.AT-31</v>
      </c>
      <c r="H185" s="296" t="str">
        <f t="shared" ca="1" si="47"/>
        <v>PR.AT-310</v>
      </c>
    </row>
    <row r="186" spans="1:8" ht="14" x14ac:dyDescent="0.3">
      <c r="A186" s="293">
        <v>211</v>
      </c>
      <c r="B186" s="293" t="s">
        <v>991</v>
      </c>
      <c r="C186" s="293" t="s">
        <v>1022</v>
      </c>
      <c r="D186" s="295" t="s">
        <v>321</v>
      </c>
      <c r="E186" s="295">
        <v>2</v>
      </c>
      <c r="F186" s="250">
        <f ca="1">VLOOKUP($D186,Data!$C:$I,7,FALSE)</f>
        <v>0</v>
      </c>
      <c r="G186" s="296" t="str">
        <f t="shared" si="46"/>
        <v>PR.AT-32</v>
      </c>
      <c r="H186" s="296" t="str">
        <f t="shared" ca="1" si="47"/>
        <v>PR.AT-320</v>
      </c>
    </row>
    <row r="187" spans="1:8" ht="14" x14ac:dyDescent="0.3">
      <c r="A187" s="293">
        <v>212</v>
      </c>
      <c r="B187" s="293" t="s">
        <v>991</v>
      </c>
      <c r="C187" s="293" t="s">
        <v>1126</v>
      </c>
      <c r="D187" s="295" t="s">
        <v>322</v>
      </c>
      <c r="E187" s="295">
        <v>2</v>
      </c>
      <c r="F187" s="250">
        <f ca="1">VLOOKUP($D187,Data!$C:$I,7,FALSE)</f>
        <v>0</v>
      </c>
      <c r="G187" s="296" t="str">
        <f t="shared" si="46"/>
        <v>PR.AT-32</v>
      </c>
      <c r="H187" s="296" t="str">
        <f t="shared" ca="1" si="47"/>
        <v>PR.AT-320</v>
      </c>
    </row>
    <row r="188" spans="1:8" ht="14" x14ac:dyDescent="0.3">
      <c r="A188" s="293">
        <v>213</v>
      </c>
      <c r="B188" s="293" t="s">
        <v>991</v>
      </c>
      <c r="C188" s="293" t="s">
        <v>1040</v>
      </c>
      <c r="D188" s="295" t="s">
        <v>323</v>
      </c>
      <c r="E188" s="295">
        <v>3</v>
      </c>
      <c r="F188" s="250">
        <f ca="1">VLOOKUP($D188,Data!$C:$I,7,FALSE)</f>
        <v>0</v>
      </c>
      <c r="G188" s="296" t="str">
        <f t="shared" si="46"/>
        <v>PR.AT-33</v>
      </c>
      <c r="H188" s="296" t="str">
        <f t="shared" ca="1" si="47"/>
        <v>PR.AT-330</v>
      </c>
    </row>
    <row r="189" spans="1:8" ht="14" x14ac:dyDescent="0.3">
      <c r="A189" s="293">
        <v>215</v>
      </c>
      <c r="B189" s="293" t="s">
        <v>991</v>
      </c>
      <c r="C189" s="293" t="s">
        <v>1041</v>
      </c>
      <c r="D189" s="295" t="s">
        <v>324</v>
      </c>
      <c r="E189" s="295">
        <v>3</v>
      </c>
      <c r="F189" s="250">
        <f ca="1">VLOOKUP($D189,Data!$C:$I,7,FALSE)</f>
        <v>0</v>
      </c>
      <c r="G189" s="296" t="str">
        <f t="shared" si="46"/>
        <v>PR.AT-33</v>
      </c>
      <c r="H189" s="296" t="str">
        <f t="shared" ca="1" si="47"/>
        <v>PR.AT-330</v>
      </c>
    </row>
    <row r="190" spans="1:8" ht="14" x14ac:dyDescent="0.3">
      <c r="A190" s="293">
        <v>216</v>
      </c>
      <c r="B190" s="293" t="s">
        <v>992</v>
      </c>
      <c r="C190" s="293" t="s">
        <v>1020</v>
      </c>
      <c r="D190" s="295" t="s">
        <v>319</v>
      </c>
      <c r="E190" s="295">
        <v>1</v>
      </c>
      <c r="F190" s="250">
        <f ca="1">VLOOKUP($D190,Data!$C:$I,7,FALSE)</f>
        <v>0</v>
      </c>
      <c r="G190" s="296" t="str">
        <f t="shared" si="46"/>
        <v>PR.AT-41</v>
      </c>
      <c r="H190" s="296" t="str">
        <f t="shared" ca="1" si="47"/>
        <v>PR.AT-410</v>
      </c>
    </row>
    <row r="191" spans="1:8" ht="14" x14ac:dyDescent="0.3">
      <c r="A191" s="293">
        <v>217</v>
      </c>
      <c r="B191" s="293" t="s">
        <v>992</v>
      </c>
      <c r="C191" s="293" t="s">
        <v>1021</v>
      </c>
      <c r="D191" s="295" t="s">
        <v>320</v>
      </c>
      <c r="E191" s="295">
        <v>1</v>
      </c>
      <c r="F191" s="250">
        <f ca="1">VLOOKUP($D191,Data!$C:$I,7,FALSE)</f>
        <v>0</v>
      </c>
      <c r="G191" s="296" t="str">
        <f t="shared" si="46"/>
        <v>PR.AT-41</v>
      </c>
      <c r="H191" s="296" t="str">
        <f t="shared" ca="1" si="47"/>
        <v>PR.AT-410</v>
      </c>
    </row>
    <row r="192" spans="1:8" ht="14" x14ac:dyDescent="0.3">
      <c r="A192" s="293">
        <v>218</v>
      </c>
      <c r="B192" s="293" t="s">
        <v>992</v>
      </c>
      <c r="C192" s="293" t="s">
        <v>1022</v>
      </c>
      <c r="D192" s="295" t="s">
        <v>321</v>
      </c>
      <c r="E192" s="295">
        <v>2</v>
      </c>
      <c r="F192" s="250">
        <f ca="1">VLOOKUP($D192,Data!$C:$I,7,FALSE)</f>
        <v>0</v>
      </c>
      <c r="G192" s="296" t="str">
        <f t="shared" si="46"/>
        <v>PR.AT-42</v>
      </c>
      <c r="H192" s="296" t="str">
        <f t="shared" ca="1" si="47"/>
        <v>PR.AT-420</v>
      </c>
    </row>
    <row r="193" spans="1:8" ht="14" x14ac:dyDescent="0.3">
      <c r="A193" s="293">
        <v>219</v>
      </c>
      <c r="B193" s="293" t="s">
        <v>992</v>
      </c>
      <c r="C193" s="293" t="s">
        <v>1126</v>
      </c>
      <c r="D193" s="295" t="s">
        <v>322</v>
      </c>
      <c r="E193" s="295">
        <v>2</v>
      </c>
      <c r="F193" s="250">
        <f ca="1">VLOOKUP($D193,Data!$C:$I,7,FALSE)</f>
        <v>0</v>
      </c>
      <c r="G193" s="296" t="str">
        <f t="shared" si="46"/>
        <v>PR.AT-42</v>
      </c>
      <c r="H193" s="296" t="str">
        <f t="shared" ca="1" si="47"/>
        <v>PR.AT-420</v>
      </c>
    </row>
    <row r="194" spans="1:8" ht="14" x14ac:dyDescent="0.3">
      <c r="A194" s="293">
        <v>220</v>
      </c>
      <c r="B194" s="293" t="s">
        <v>992</v>
      </c>
      <c r="C194" s="293" t="s">
        <v>1040</v>
      </c>
      <c r="D194" s="295" t="s">
        <v>323</v>
      </c>
      <c r="E194" s="295">
        <v>3</v>
      </c>
      <c r="F194" s="250">
        <f ca="1">VLOOKUP($D194,Data!$C:$I,7,FALSE)</f>
        <v>0</v>
      </c>
      <c r="G194" s="296" t="str">
        <f t="shared" ref="G194:G257" si="48">CONCATENATE($B194,$E194)</f>
        <v>PR.AT-43</v>
      </c>
      <c r="H194" s="296" t="str">
        <f t="shared" ref="H194:H257" ca="1" si="49">_xlfn.IFNA(CONCATENATE($B194,$E194,$F194),CONCATENATE($B194,$E194,0))</f>
        <v>PR.AT-430</v>
      </c>
    </row>
    <row r="195" spans="1:8" ht="14" x14ac:dyDescent="0.3">
      <c r="A195" s="293">
        <v>222</v>
      </c>
      <c r="B195" s="293" t="s">
        <v>992</v>
      </c>
      <c r="C195" s="293" t="s">
        <v>1041</v>
      </c>
      <c r="D195" s="295" t="s">
        <v>324</v>
      </c>
      <c r="E195" s="295">
        <v>3</v>
      </c>
      <c r="F195" s="250">
        <f ca="1">VLOOKUP($D195,Data!$C:$I,7,FALSE)</f>
        <v>0</v>
      </c>
      <c r="G195" s="296" t="str">
        <f t="shared" si="48"/>
        <v>PR.AT-43</v>
      </c>
      <c r="H195" s="296" t="str">
        <f t="shared" ca="1" si="49"/>
        <v>PR.AT-430</v>
      </c>
    </row>
    <row r="196" spans="1:8" ht="14" x14ac:dyDescent="0.3">
      <c r="A196" s="293">
        <v>223</v>
      </c>
      <c r="B196" s="293" t="s">
        <v>993</v>
      </c>
      <c r="C196" s="293" t="s">
        <v>1020</v>
      </c>
      <c r="D196" s="295" t="s">
        <v>319</v>
      </c>
      <c r="E196" s="295">
        <v>1</v>
      </c>
      <c r="F196" s="250">
        <f ca="1">VLOOKUP($D196,Data!$C:$I,7,FALSE)</f>
        <v>0</v>
      </c>
      <c r="G196" s="296" t="str">
        <f t="shared" si="48"/>
        <v>PR.AT-51</v>
      </c>
      <c r="H196" s="296" t="str">
        <f t="shared" ca="1" si="49"/>
        <v>PR.AT-510</v>
      </c>
    </row>
    <row r="197" spans="1:8" ht="14" x14ac:dyDescent="0.3">
      <c r="A197" s="293">
        <v>224</v>
      </c>
      <c r="B197" s="293" t="s">
        <v>993</v>
      </c>
      <c r="C197" s="293" t="s">
        <v>1021</v>
      </c>
      <c r="D197" s="295" t="s">
        <v>320</v>
      </c>
      <c r="E197" s="295">
        <v>1</v>
      </c>
      <c r="F197" s="250">
        <f ca="1">VLOOKUP($D197,Data!$C:$I,7,FALSE)</f>
        <v>0</v>
      </c>
      <c r="G197" s="296" t="str">
        <f t="shared" si="48"/>
        <v>PR.AT-51</v>
      </c>
      <c r="H197" s="296" t="str">
        <f t="shared" ca="1" si="49"/>
        <v>PR.AT-510</v>
      </c>
    </row>
    <row r="198" spans="1:8" ht="14" x14ac:dyDescent="0.3">
      <c r="A198" s="293">
        <v>225</v>
      </c>
      <c r="B198" s="293" t="s">
        <v>993</v>
      </c>
      <c r="C198" s="293" t="s">
        <v>1022</v>
      </c>
      <c r="D198" s="295" t="s">
        <v>321</v>
      </c>
      <c r="E198" s="295">
        <v>2</v>
      </c>
      <c r="F198" s="250">
        <f ca="1">VLOOKUP($D198,Data!$C:$I,7,FALSE)</f>
        <v>0</v>
      </c>
      <c r="G198" s="296" t="str">
        <f t="shared" si="48"/>
        <v>PR.AT-52</v>
      </c>
      <c r="H198" s="296" t="str">
        <f t="shared" ca="1" si="49"/>
        <v>PR.AT-520</v>
      </c>
    </row>
    <row r="199" spans="1:8" ht="14" x14ac:dyDescent="0.3">
      <c r="A199" s="293">
        <v>226</v>
      </c>
      <c r="B199" s="293" t="s">
        <v>993</v>
      </c>
      <c r="C199" s="293" t="s">
        <v>1126</v>
      </c>
      <c r="D199" s="295" t="s">
        <v>322</v>
      </c>
      <c r="E199" s="295">
        <v>2</v>
      </c>
      <c r="F199" s="250">
        <f ca="1">VLOOKUP($D199,Data!$C:$I,7,FALSE)</f>
        <v>0</v>
      </c>
      <c r="G199" s="296" t="str">
        <f t="shared" si="48"/>
        <v>PR.AT-52</v>
      </c>
      <c r="H199" s="296" t="str">
        <f t="shared" ca="1" si="49"/>
        <v>PR.AT-520</v>
      </c>
    </row>
    <row r="200" spans="1:8" ht="14" x14ac:dyDescent="0.3">
      <c r="A200" s="293">
        <v>227</v>
      </c>
      <c r="B200" s="293" t="s">
        <v>993</v>
      </c>
      <c r="C200" s="293" t="s">
        <v>1040</v>
      </c>
      <c r="D200" s="295" t="s">
        <v>323</v>
      </c>
      <c r="E200" s="295">
        <v>3</v>
      </c>
      <c r="F200" s="250">
        <f ca="1">VLOOKUP($D200,Data!$C:$I,7,FALSE)</f>
        <v>0</v>
      </c>
      <c r="G200" s="296" t="str">
        <f t="shared" si="48"/>
        <v>PR.AT-53</v>
      </c>
      <c r="H200" s="296" t="str">
        <f t="shared" ca="1" si="49"/>
        <v>PR.AT-530</v>
      </c>
    </row>
    <row r="201" spans="1:8" ht="14" x14ac:dyDescent="0.3">
      <c r="A201" s="293">
        <v>229</v>
      </c>
      <c r="B201" s="293" t="s">
        <v>993</v>
      </c>
      <c r="C201" s="293" t="s">
        <v>1041</v>
      </c>
      <c r="D201" s="295" t="s">
        <v>324</v>
      </c>
      <c r="E201" s="295">
        <v>3</v>
      </c>
      <c r="F201" s="250">
        <f ca="1">VLOOKUP($D201,Data!$C:$I,7,FALSE)</f>
        <v>0</v>
      </c>
      <c r="G201" s="296" t="str">
        <f t="shared" si="48"/>
        <v>PR.AT-53</v>
      </c>
      <c r="H201" s="296" t="str">
        <f t="shared" ca="1" si="49"/>
        <v>PR.AT-530</v>
      </c>
    </row>
    <row r="202" spans="1:8" ht="14" x14ac:dyDescent="0.3">
      <c r="A202" s="293">
        <v>230</v>
      </c>
      <c r="B202" s="293" t="s">
        <v>1127</v>
      </c>
      <c r="C202" s="293" t="s">
        <v>1128</v>
      </c>
      <c r="D202" s="295" t="s">
        <v>188</v>
      </c>
      <c r="E202" s="295">
        <v>1</v>
      </c>
      <c r="F202" s="250">
        <f ca="1">VLOOKUP($D202,Data!$C:$I,7,FALSE)</f>
        <v>0</v>
      </c>
      <c r="G202" s="296" t="str">
        <f t="shared" si="48"/>
        <v>PR.DS-11</v>
      </c>
      <c r="H202" s="296" t="str">
        <f t="shared" ca="1" si="49"/>
        <v>PR.DS-110</v>
      </c>
    </row>
    <row r="203" spans="1:8" ht="14" x14ac:dyDescent="0.3">
      <c r="A203" s="293">
        <v>231</v>
      </c>
      <c r="B203" s="293" t="s">
        <v>1127</v>
      </c>
      <c r="C203" s="293" t="s">
        <v>1129</v>
      </c>
      <c r="D203" s="295" t="s">
        <v>203</v>
      </c>
      <c r="E203" s="295">
        <v>1</v>
      </c>
      <c r="F203" s="250">
        <f ca="1">VLOOKUP($D203,Data!$C:$I,7,FALSE)</f>
        <v>0</v>
      </c>
      <c r="G203" s="296" t="str">
        <f t="shared" si="48"/>
        <v>PR.DS-11</v>
      </c>
      <c r="H203" s="296" t="str">
        <f t="shared" ca="1" si="49"/>
        <v>PR.DS-110</v>
      </c>
    </row>
    <row r="204" spans="1:8" ht="14" x14ac:dyDescent="0.3">
      <c r="A204" s="293">
        <v>232</v>
      </c>
      <c r="B204" s="293" t="s">
        <v>1130</v>
      </c>
      <c r="C204" s="293" t="s">
        <v>1128</v>
      </c>
      <c r="D204" s="295" t="s">
        <v>188</v>
      </c>
      <c r="E204" s="295">
        <v>1</v>
      </c>
      <c r="F204" s="250">
        <f ca="1">VLOOKUP($D204,Data!$C:$I,7,FALSE)</f>
        <v>0</v>
      </c>
      <c r="G204" s="296" t="str">
        <f t="shared" si="48"/>
        <v>PR.DS-21</v>
      </c>
      <c r="H204" s="296" t="str">
        <f t="shared" ca="1" si="49"/>
        <v>PR.DS-210</v>
      </c>
    </row>
    <row r="205" spans="1:8" ht="14" x14ac:dyDescent="0.3">
      <c r="A205" s="293">
        <v>233</v>
      </c>
      <c r="B205" s="293" t="s">
        <v>1130</v>
      </c>
      <c r="C205" s="293" t="s">
        <v>1129</v>
      </c>
      <c r="D205" s="295" t="s">
        <v>203</v>
      </c>
      <c r="E205" s="295">
        <v>1</v>
      </c>
      <c r="F205" s="250">
        <f ca="1">VLOOKUP($D205,Data!$C:$I,7,FALSE)</f>
        <v>0</v>
      </c>
      <c r="G205" s="296" t="str">
        <f t="shared" si="48"/>
        <v>PR.DS-21</v>
      </c>
      <c r="H205" s="296" t="str">
        <f t="shared" ca="1" si="49"/>
        <v>PR.DS-210</v>
      </c>
    </row>
    <row r="206" spans="1:8" ht="14" x14ac:dyDescent="0.3">
      <c r="A206" s="293">
        <v>234</v>
      </c>
      <c r="B206" s="293" t="s">
        <v>994</v>
      </c>
      <c r="C206" s="293" t="s">
        <v>1131</v>
      </c>
      <c r="D206" s="295" t="s">
        <v>125</v>
      </c>
      <c r="E206" s="295">
        <v>1</v>
      </c>
      <c r="F206" s="250">
        <f ca="1">VLOOKUP($D206,Data!$C:$I,7,FALSE)</f>
        <v>0</v>
      </c>
      <c r="G206" s="296" t="str">
        <f t="shared" si="48"/>
        <v>PR.DS-31</v>
      </c>
      <c r="H206" s="296" t="str">
        <f t="shared" ca="1" si="49"/>
        <v>PR.DS-310</v>
      </c>
    </row>
    <row r="207" spans="1:8" ht="14" x14ac:dyDescent="0.3">
      <c r="A207" s="293">
        <v>235</v>
      </c>
      <c r="B207" s="293" t="s">
        <v>994</v>
      </c>
      <c r="C207" s="293" t="s">
        <v>1132</v>
      </c>
      <c r="D207" s="295" t="s">
        <v>128</v>
      </c>
      <c r="E207" s="295">
        <v>1</v>
      </c>
      <c r="F207" s="250">
        <f ca="1">VLOOKUP($D207,Data!$C:$I,7,FALSE)</f>
        <v>0</v>
      </c>
      <c r="G207" s="296" t="str">
        <f t="shared" si="48"/>
        <v>PR.DS-31</v>
      </c>
      <c r="H207" s="296" t="str">
        <f t="shared" ca="1" si="49"/>
        <v>PR.DS-310</v>
      </c>
    </row>
    <row r="208" spans="1:8" ht="14" x14ac:dyDescent="0.3">
      <c r="A208" s="293">
        <v>236</v>
      </c>
      <c r="B208" s="293" t="s">
        <v>994</v>
      </c>
      <c r="C208" s="293" t="s">
        <v>1133</v>
      </c>
      <c r="D208" s="295" t="s">
        <v>131</v>
      </c>
      <c r="E208" s="295">
        <v>2</v>
      </c>
      <c r="F208" s="250">
        <f ca="1">VLOOKUP($D208,Data!$C:$I,7,FALSE)</f>
        <v>0</v>
      </c>
      <c r="G208" s="296" t="str">
        <f t="shared" si="48"/>
        <v>PR.DS-32</v>
      </c>
      <c r="H208" s="296" t="str">
        <f t="shared" ca="1" si="49"/>
        <v>PR.DS-320</v>
      </c>
    </row>
    <row r="209" spans="1:8" ht="14" x14ac:dyDescent="0.3">
      <c r="A209" s="293">
        <v>237</v>
      </c>
      <c r="B209" s="293" t="s">
        <v>994</v>
      </c>
      <c r="C209" s="293" t="s">
        <v>1134</v>
      </c>
      <c r="D209" s="295" t="s">
        <v>134</v>
      </c>
      <c r="E209" s="295">
        <v>2</v>
      </c>
      <c r="F209" s="250">
        <f ca="1">VLOOKUP($D209,Data!$C:$I,7,FALSE)</f>
        <v>0</v>
      </c>
      <c r="G209" s="296" t="str">
        <f t="shared" si="48"/>
        <v>PR.DS-32</v>
      </c>
      <c r="H209" s="296" t="str">
        <f t="shared" ca="1" si="49"/>
        <v>PR.DS-320</v>
      </c>
    </row>
    <row r="210" spans="1:8" ht="14" x14ac:dyDescent="0.3">
      <c r="A210" s="293">
        <v>238</v>
      </c>
      <c r="B210" s="293" t="s">
        <v>994</v>
      </c>
      <c r="C210" s="293" t="s">
        <v>1135</v>
      </c>
      <c r="D210" s="295" t="s">
        <v>142</v>
      </c>
      <c r="E210" s="295">
        <v>2</v>
      </c>
      <c r="F210" s="250">
        <f ca="1">VLOOKUP($D210,Data!$C:$I,7,FALSE)</f>
        <v>0</v>
      </c>
      <c r="G210" s="296" t="str">
        <f t="shared" si="48"/>
        <v>PR.DS-32</v>
      </c>
      <c r="H210" s="296" t="str">
        <f t="shared" ca="1" si="49"/>
        <v>PR.DS-320</v>
      </c>
    </row>
    <row r="211" spans="1:8" ht="14" x14ac:dyDescent="0.3">
      <c r="A211" s="293">
        <v>240</v>
      </c>
      <c r="B211" s="293" t="s">
        <v>994</v>
      </c>
      <c r="C211" s="293" t="s">
        <v>1136</v>
      </c>
      <c r="D211" s="295" t="s">
        <v>145</v>
      </c>
      <c r="E211" s="295">
        <v>2</v>
      </c>
      <c r="F211" s="250">
        <f ca="1">VLOOKUP($D211,Data!$C:$I,7,FALSE)</f>
        <v>0</v>
      </c>
      <c r="G211" s="296" t="str">
        <f t="shared" si="48"/>
        <v>PR.DS-32</v>
      </c>
      <c r="H211" s="296" t="str">
        <f t="shared" ca="1" si="49"/>
        <v>PR.DS-320</v>
      </c>
    </row>
    <row r="212" spans="1:8" ht="14" x14ac:dyDescent="0.3">
      <c r="A212" s="293">
        <v>242</v>
      </c>
      <c r="B212" s="293" t="s">
        <v>994</v>
      </c>
      <c r="C212" s="293" t="s">
        <v>1137</v>
      </c>
      <c r="D212" s="295" t="s">
        <v>139</v>
      </c>
      <c r="E212" s="295">
        <v>3</v>
      </c>
      <c r="F212" s="250">
        <f ca="1">VLOOKUP($D212,Data!$C:$I,7,FALSE)</f>
        <v>0</v>
      </c>
      <c r="G212" s="296" t="str">
        <f t="shared" si="48"/>
        <v>PR.DS-33</v>
      </c>
      <c r="H212" s="296" t="str">
        <f t="shared" ca="1" si="49"/>
        <v>PR.DS-330</v>
      </c>
    </row>
    <row r="213" spans="1:8" ht="14" x14ac:dyDescent="0.3">
      <c r="A213" s="293">
        <v>243</v>
      </c>
      <c r="B213" s="293" t="s">
        <v>994</v>
      </c>
      <c r="C213" s="293" t="s">
        <v>1138</v>
      </c>
      <c r="D213" s="295" t="s">
        <v>153</v>
      </c>
      <c r="E213" s="295">
        <v>3</v>
      </c>
      <c r="F213" s="250">
        <f ca="1">VLOOKUP($D213,Data!$C:$I,7,FALSE)</f>
        <v>0</v>
      </c>
      <c r="G213" s="296" t="str">
        <f t="shared" si="48"/>
        <v>PR.DS-33</v>
      </c>
      <c r="H213" s="296" t="str">
        <f t="shared" ca="1" si="49"/>
        <v>PR.DS-330</v>
      </c>
    </row>
    <row r="214" spans="1:8" ht="14" x14ac:dyDescent="0.3">
      <c r="A214" s="293">
        <v>246</v>
      </c>
      <c r="B214" s="293" t="s">
        <v>1139</v>
      </c>
      <c r="C214" s="293" t="s">
        <v>1128</v>
      </c>
      <c r="D214" s="295" t="s">
        <v>188</v>
      </c>
      <c r="E214" s="295">
        <v>1</v>
      </c>
      <c r="F214" s="250">
        <f ca="1">VLOOKUP($D214,Data!$C:$I,7,FALSE)</f>
        <v>0</v>
      </c>
      <c r="G214" s="296" t="str">
        <f t="shared" si="48"/>
        <v>PR.DS-41</v>
      </c>
      <c r="H214" s="296" t="str">
        <f t="shared" ca="1" si="49"/>
        <v>PR.DS-410</v>
      </c>
    </row>
    <row r="215" spans="1:8" ht="14" x14ac:dyDescent="0.3">
      <c r="A215" s="293">
        <v>247</v>
      </c>
      <c r="B215" s="293" t="s">
        <v>1139</v>
      </c>
      <c r="C215" s="293" t="s">
        <v>1129</v>
      </c>
      <c r="D215" s="295" t="s">
        <v>203</v>
      </c>
      <c r="E215" s="295">
        <v>1</v>
      </c>
      <c r="F215" s="250">
        <f ca="1">VLOOKUP($D215,Data!$C:$I,7,FALSE)</f>
        <v>0</v>
      </c>
      <c r="G215" s="296" t="str">
        <f t="shared" si="48"/>
        <v>PR.DS-41</v>
      </c>
      <c r="H215" s="296" t="str">
        <f t="shared" ca="1" si="49"/>
        <v>PR.DS-410</v>
      </c>
    </row>
    <row r="216" spans="1:8" ht="14" x14ac:dyDescent="0.3">
      <c r="A216" s="293">
        <v>248</v>
      </c>
      <c r="B216" s="293" t="s">
        <v>1139</v>
      </c>
      <c r="C216" s="293" t="s">
        <v>1115</v>
      </c>
      <c r="D216" s="295" t="s">
        <v>354</v>
      </c>
      <c r="E216" s="295">
        <v>2</v>
      </c>
      <c r="F216" s="250">
        <f ca="1">VLOOKUP($D216,Data!$C:$I,7,FALSE)</f>
        <v>0</v>
      </c>
      <c r="G216" s="296" t="str">
        <f t="shared" si="48"/>
        <v>PR.DS-42</v>
      </c>
      <c r="H216" s="296" t="str">
        <f t="shared" ca="1" si="49"/>
        <v>PR.DS-420</v>
      </c>
    </row>
    <row r="217" spans="1:8" ht="14" x14ac:dyDescent="0.3">
      <c r="A217" s="293">
        <v>249</v>
      </c>
      <c r="B217" s="293" t="s">
        <v>1140</v>
      </c>
      <c r="C217" s="293" t="s">
        <v>1128</v>
      </c>
      <c r="D217" s="295" t="s">
        <v>188</v>
      </c>
      <c r="E217" s="295">
        <v>1</v>
      </c>
      <c r="F217" s="250">
        <f ca="1">VLOOKUP($D217,Data!$C:$I,7,FALSE)</f>
        <v>0</v>
      </c>
      <c r="G217" s="296" t="str">
        <f t="shared" si="48"/>
        <v>PR.DS-51</v>
      </c>
      <c r="H217" s="296" t="str">
        <f t="shared" ca="1" si="49"/>
        <v>PR.DS-510</v>
      </c>
    </row>
    <row r="218" spans="1:8" ht="14" x14ac:dyDescent="0.3">
      <c r="A218" s="293">
        <v>250</v>
      </c>
      <c r="B218" s="293" t="s">
        <v>1140</v>
      </c>
      <c r="C218" s="293" t="s">
        <v>1129</v>
      </c>
      <c r="D218" s="295" t="s">
        <v>203</v>
      </c>
      <c r="E218" s="295">
        <v>1</v>
      </c>
      <c r="F218" s="250">
        <f ca="1">VLOOKUP($D218,Data!$C:$I,7,FALSE)</f>
        <v>0</v>
      </c>
      <c r="G218" s="296" t="str">
        <f t="shared" si="48"/>
        <v>PR.DS-51</v>
      </c>
      <c r="H218" s="296" t="str">
        <f t="shared" ca="1" si="49"/>
        <v>PR.DS-510</v>
      </c>
    </row>
    <row r="219" spans="1:8" ht="14" x14ac:dyDescent="0.3">
      <c r="A219" s="293">
        <v>251</v>
      </c>
      <c r="B219" s="293" t="s">
        <v>1140</v>
      </c>
      <c r="C219" s="293" t="s">
        <v>1115</v>
      </c>
      <c r="D219" s="295" t="s">
        <v>354</v>
      </c>
      <c r="E219" s="295">
        <v>2</v>
      </c>
      <c r="F219" s="250">
        <f ca="1">VLOOKUP($D219,Data!$C:$I,7,FALSE)</f>
        <v>0</v>
      </c>
      <c r="G219" s="296" t="str">
        <f t="shared" si="48"/>
        <v>PR.DS-52</v>
      </c>
      <c r="H219" s="296" t="str">
        <f t="shared" ca="1" si="49"/>
        <v>PR.DS-520</v>
      </c>
    </row>
    <row r="220" spans="1:8" ht="14" x14ac:dyDescent="0.3">
      <c r="A220" s="293">
        <v>252</v>
      </c>
      <c r="B220" s="293" t="s">
        <v>1140</v>
      </c>
      <c r="C220" s="293" t="s">
        <v>1141</v>
      </c>
      <c r="D220" s="295" t="s">
        <v>216</v>
      </c>
      <c r="E220" s="295">
        <v>3</v>
      </c>
      <c r="F220" s="250">
        <f ca="1">VLOOKUP($D220,Data!$C:$I,7,FALSE)</f>
        <v>0</v>
      </c>
      <c r="G220" s="296" t="str">
        <f t="shared" si="48"/>
        <v>PR.DS-53</v>
      </c>
      <c r="H220" s="296" t="str">
        <f t="shared" ca="1" si="49"/>
        <v>PR.DS-530</v>
      </c>
    </row>
    <row r="221" spans="1:8" ht="14" x14ac:dyDescent="0.3">
      <c r="A221" s="293">
        <v>253</v>
      </c>
      <c r="B221" s="293" t="s">
        <v>1142</v>
      </c>
      <c r="C221" s="293" t="s">
        <v>1143</v>
      </c>
      <c r="D221" s="295" t="s">
        <v>232</v>
      </c>
      <c r="E221" s="295">
        <v>2</v>
      </c>
      <c r="F221" s="250">
        <f ca="1">VLOOKUP($D221,Data!$C:$I,7,FALSE)</f>
        <v>0</v>
      </c>
      <c r="G221" s="296" t="str">
        <f t="shared" si="48"/>
        <v>PR.DS-62</v>
      </c>
      <c r="H221" s="296" t="str">
        <f t="shared" ca="1" si="49"/>
        <v>PR.DS-620</v>
      </c>
    </row>
    <row r="222" spans="1:8" ht="14" x14ac:dyDescent="0.3">
      <c r="A222" s="293">
        <v>254</v>
      </c>
      <c r="B222" s="293" t="s">
        <v>1142</v>
      </c>
      <c r="C222" s="293" t="s">
        <v>1144</v>
      </c>
      <c r="D222" s="295" t="s">
        <v>236</v>
      </c>
      <c r="E222" s="295">
        <v>3</v>
      </c>
      <c r="F222" s="250">
        <f ca="1">VLOOKUP($D222,Data!$C:$I,7,FALSE)</f>
        <v>0</v>
      </c>
      <c r="G222" s="296" t="str">
        <f t="shared" si="48"/>
        <v>PR.DS-63</v>
      </c>
      <c r="H222" s="296" t="str">
        <f t="shared" ca="1" si="49"/>
        <v>PR.DS-630</v>
      </c>
    </row>
    <row r="223" spans="1:8" ht="14" x14ac:dyDescent="0.3">
      <c r="A223" s="293">
        <v>255</v>
      </c>
      <c r="B223" s="293" t="s">
        <v>1145</v>
      </c>
      <c r="C223" s="293" t="s">
        <v>1133</v>
      </c>
      <c r="D223" s="295" t="s">
        <v>131</v>
      </c>
      <c r="E223" s="295">
        <v>2</v>
      </c>
      <c r="F223" s="250">
        <f ca="1">VLOOKUP($D223,Data!$C:$I,7,FALSE)</f>
        <v>0</v>
      </c>
      <c r="G223" s="296" t="str">
        <f t="shared" si="48"/>
        <v>PR.DS-72</v>
      </c>
      <c r="H223" s="296" t="str">
        <f t="shared" ca="1" si="49"/>
        <v>PR.DS-720</v>
      </c>
    </row>
    <row r="224" spans="1:8" ht="14" x14ac:dyDescent="0.3">
      <c r="A224" s="293">
        <v>256</v>
      </c>
      <c r="B224" s="293" t="s">
        <v>1145</v>
      </c>
      <c r="C224" s="293" t="s">
        <v>1146</v>
      </c>
      <c r="D224" s="295" t="s">
        <v>137</v>
      </c>
      <c r="E224" s="295">
        <v>3</v>
      </c>
      <c r="F224" s="250">
        <f ca="1">VLOOKUP($D224,Data!$C:$I,7,FALSE)</f>
        <v>0</v>
      </c>
      <c r="G224" s="296" t="str">
        <f t="shared" si="48"/>
        <v>PR.DS-73</v>
      </c>
      <c r="H224" s="296" t="str">
        <f t="shared" ca="1" si="49"/>
        <v>PR.DS-730</v>
      </c>
    </row>
    <row r="225" spans="1:8" ht="14" x14ac:dyDescent="0.3">
      <c r="A225" s="293">
        <v>257</v>
      </c>
      <c r="B225" s="293" t="s">
        <v>1147</v>
      </c>
      <c r="C225" s="293" t="s">
        <v>1148</v>
      </c>
      <c r="D225" s="295" t="s">
        <v>114</v>
      </c>
      <c r="E225" s="295">
        <v>1</v>
      </c>
      <c r="F225" s="250">
        <f ca="1">VLOOKUP($D225,Data!$C:$I,7,FALSE)</f>
        <v>0</v>
      </c>
      <c r="G225" s="296" t="str">
        <f t="shared" si="48"/>
        <v>PR.DS-8.DISABLED1</v>
      </c>
      <c r="H225" s="296" t="str">
        <f t="shared" ca="1" si="49"/>
        <v>PR.DS-8.DISABLED10</v>
      </c>
    </row>
    <row r="226" spans="1:8" ht="14" x14ac:dyDescent="0.3">
      <c r="A226" s="293">
        <v>258</v>
      </c>
      <c r="B226" s="293" t="s">
        <v>1147</v>
      </c>
      <c r="C226" s="293" t="s">
        <v>1149</v>
      </c>
      <c r="D226" s="295" t="s">
        <v>116</v>
      </c>
      <c r="E226" s="295">
        <v>1</v>
      </c>
      <c r="F226" s="250">
        <f ca="1">VLOOKUP($D226,Data!$C:$I,7,FALSE)</f>
        <v>0</v>
      </c>
      <c r="G226" s="296" t="str">
        <f t="shared" si="48"/>
        <v>PR.DS-8.DISABLED1</v>
      </c>
      <c r="H226" s="296" t="str">
        <f t="shared" ca="1" si="49"/>
        <v>PR.DS-8.DISABLED10</v>
      </c>
    </row>
    <row r="227" spans="1:8" ht="14" x14ac:dyDescent="0.3">
      <c r="A227" s="293">
        <v>259</v>
      </c>
      <c r="B227" s="293" t="s">
        <v>1147</v>
      </c>
      <c r="C227" s="293" t="s">
        <v>1150</v>
      </c>
      <c r="D227" s="295" t="s">
        <v>226</v>
      </c>
      <c r="E227" s="295">
        <v>2</v>
      </c>
      <c r="F227" s="250">
        <f ca="1">VLOOKUP($D227,Data!$C:$I,7,FALSE)</f>
        <v>0</v>
      </c>
      <c r="G227" s="296" t="str">
        <f t="shared" si="48"/>
        <v>PR.DS-8.DISABLED2</v>
      </c>
      <c r="H227" s="296" t="str">
        <f t="shared" ca="1" si="49"/>
        <v>PR.DS-8.DISABLED20</v>
      </c>
    </row>
    <row r="228" spans="1:8" ht="14" x14ac:dyDescent="0.3">
      <c r="A228" s="293">
        <v>260</v>
      </c>
      <c r="B228" s="293" t="s">
        <v>1147</v>
      </c>
      <c r="C228" s="293" t="s">
        <v>1151</v>
      </c>
      <c r="D228" s="295" t="s">
        <v>120</v>
      </c>
      <c r="E228" s="295">
        <v>3</v>
      </c>
      <c r="F228" s="250">
        <f ca="1">VLOOKUP($D228,Data!$C:$I,7,FALSE)</f>
        <v>0</v>
      </c>
      <c r="G228" s="296" t="str">
        <f t="shared" si="48"/>
        <v>PR.DS-8.DISABLED3</v>
      </c>
      <c r="H228" s="296" t="str">
        <f t="shared" ca="1" si="49"/>
        <v>PR.DS-8.DISABLED30</v>
      </c>
    </row>
    <row r="229" spans="1:8" ht="14" x14ac:dyDescent="0.3">
      <c r="A229" s="293">
        <v>261</v>
      </c>
      <c r="B229" s="293" t="s">
        <v>1152</v>
      </c>
      <c r="C229" s="293" t="s">
        <v>1148</v>
      </c>
      <c r="D229" s="295" t="s">
        <v>114</v>
      </c>
      <c r="E229" s="295">
        <v>1</v>
      </c>
      <c r="F229" s="250">
        <f ca="1">VLOOKUP($D229,Data!$C:$I,7,FALSE)</f>
        <v>0</v>
      </c>
      <c r="G229" s="296" t="str">
        <f t="shared" si="48"/>
        <v>PR.IP-11</v>
      </c>
      <c r="H229" s="296" t="str">
        <f t="shared" ca="1" si="49"/>
        <v>PR.IP-110</v>
      </c>
    </row>
    <row r="230" spans="1:8" ht="14" x14ac:dyDescent="0.3">
      <c r="A230" s="293">
        <v>262</v>
      </c>
      <c r="B230" s="293" t="s">
        <v>1152</v>
      </c>
      <c r="C230" s="293" t="s">
        <v>1149</v>
      </c>
      <c r="D230" s="295" t="s">
        <v>116</v>
      </c>
      <c r="E230" s="295">
        <v>1</v>
      </c>
      <c r="F230" s="250">
        <f ca="1">VLOOKUP($D230,Data!$C:$I,7,FALSE)</f>
        <v>0</v>
      </c>
      <c r="G230" s="296" t="str">
        <f t="shared" si="48"/>
        <v>PR.IP-11</v>
      </c>
      <c r="H230" s="296" t="str">
        <f t="shared" ca="1" si="49"/>
        <v>PR.IP-110</v>
      </c>
    </row>
    <row r="231" spans="1:8" ht="14" x14ac:dyDescent="0.3">
      <c r="A231" s="293">
        <v>263</v>
      </c>
      <c r="B231" s="293" t="s">
        <v>1152</v>
      </c>
      <c r="C231" s="293" t="s">
        <v>1153</v>
      </c>
      <c r="D231" s="295" t="s">
        <v>118</v>
      </c>
      <c r="E231" s="295">
        <v>2</v>
      </c>
      <c r="F231" s="250">
        <f ca="1">VLOOKUP($D231,Data!$C:$I,7,FALSE)</f>
        <v>0</v>
      </c>
      <c r="G231" s="296" t="str">
        <f t="shared" si="48"/>
        <v>PR.IP-12</v>
      </c>
      <c r="H231" s="296" t="str">
        <f t="shared" ca="1" si="49"/>
        <v>PR.IP-120</v>
      </c>
    </row>
    <row r="232" spans="1:8" ht="14" x14ac:dyDescent="0.3">
      <c r="A232" s="293">
        <v>264</v>
      </c>
      <c r="B232" s="293" t="s">
        <v>1152</v>
      </c>
      <c r="C232" s="293" t="s">
        <v>1151</v>
      </c>
      <c r="D232" s="295" t="s">
        <v>120</v>
      </c>
      <c r="E232" s="295">
        <v>3</v>
      </c>
      <c r="F232" s="250">
        <f ca="1">VLOOKUP($D232,Data!$C:$I,7,FALSE)</f>
        <v>0</v>
      </c>
      <c r="G232" s="296" t="str">
        <f t="shared" si="48"/>
        <v>PR.IP-13</v>
      </c>
      <c r="H232" s="296" t="str">
        <f t="shared" ca="1" si="49"/>
        <v>PR.IP-130</v>
      </c>
    </row>
    <row r="233" spans="1:8" ht="14" x14ac:dyDescent="0.3">
      <c r="A233" s="293">
        <v>265</v>
      </c>
      <c r="B233" s="293" t="s">
        <v>1152</v>
      </c>
      <c r="C233" s="293" t="s">
        <v>1154</v>
      </c>
      <c r="D233" s="295" t="s">
        <v>122</v>
      </c>
      <c r="E233" s="295">
        <v>3</v>
      </c>
      <c r="F233" s="250">
        <f ca="1">VLOOKUP($D233,Data!$C:$I,7,FALSE)</f>
        <v>0</v>
      </c>
      <c r="G233" s="296" t="str">
        <f t="shared" si="48"/>
        <v>PR.IP-13</v>
      </c>
      <c r="H233" s="296" t="str">
        <f t="shared" ca="1" si="49"/>
        <v>PR.IP-130</v>
      </c>
    </row>
    <row r="234" spans="1:8" ht="14" x14ac:dyDescent="0.3">
      <c r="A234" s="293">
        <v>266</v>
      </c>
      <c r="B234" s="293" t="s">
        <v>1155</v>
      </c>
      <c r="C234" s="293" t="s">
        <v>1134</v>
      </c>
      <c r="D234" s="295" t="s">
        <v>134</v>
      </c>
      <c r="E234" s="295">
        <v>2</v>
      </c>
      <c r="F234" s="250">
        <f ca="1">VLOOKUP($D234,Data!$C:$I,7,FALSE)</f>
        <v>0</v>
      </c>
      <c r="G234" s="296" t="str">
        <f t="shared" si="48"/>
        <v>PR.IP-22</v>
      </c>
      <c r="H234" s="296" t="str">
        <f t="shared" ca="1" si="49"/>
        <v>PR.IP-220</v>
      </c>
    </row>
    <row r="235" spans="1:8" ht="14" x14ac:dyDescent="0.3">
      <c r="A235" s="293">
        <v>267</v>
      </c>
      <c r="B235" s="293" t="s">
        <v>1156</v>
      </c>
      <c r="C235" s="293" t="s">
        <v>1131</v>
      </c>
      <c r="D235" s="295" t="s">
        <v>125</v>
      </c>
      <c r="E235" s="295">
        <v>1</v>
      </c>
      <c r="F235" s="250">
        <f ca="1">VLOOKUP($D235,Data!$C:$I,7,FALSE)</f>
        <v>0</v>
      </c>
      <c r="G235" s="296" t="str">
        <f t="shared" si="48"/>
        <v>PR.IP-31</v>
      </c>
      <c r="H235" s="296" t="str">
        <f t="shared" ca="1" si="49"/>
        <v>PR.IP-310</v>
      </c>
    </row>
    <row r="236" spans="1:8" ht="14" x14ac:dyDescent="0.3">
      <c r="A236" s="293">
        <v>268</v>
      </c>
      <c r="B236" s="293" t="s">
        <v>1156</v>
      </c>
      <c r="C236" s="293" t="s">
        <v>1132</v>
      </c>
      <c r="D236" s="295" t="s">
        <v>128</v>
      </c>
      <c r="E236" s="295">
        <v>1</v>
      </c>
      <c r="F236" s="250">
        <f ca="1">VLOOKUP($D236,Data!$C:$I,7,FALSE)</f>
        <v>0</v>
      </c>
      <c r="G236" s="296" t="str">
        <f t="shared" si="48"/>
        <v>PR.IP-31</v>
      </c>
      <c r="H236" s="296" t="str">
        <f t="shared" ca="1" si="49"/>
        <v>PR.IP-310</v>
      </c>
    </row>
    <row r="237" spans="1:8" ht="14" x14ac:dyDescent="0.3">
      <c r="A237" s="293">
        <v>269</v>
      </c>
      <c r="B237" s="293" t="s">
        <v>1156</v>
      </c>
      <c r="C237" s="293" t="s">
        <v>1133</v>
      </c>
      <c r="D237" s="295" t="s">
        <v>131</v>
      </c>
      <c r="E237" s="295">
        <v>2</v>
      </c>
      <c r="F237" s="250">
        <f ca="1">VLOOKUP($D237,Data!$C:$I,7,FALSE)</f>
        <v>0</v>
      </c>
      <c r="G237" s="296" t="str">
        <f t="shared" si="48"/>
        <v>PR.IP-32</v>
      </c>
      <c r="H237" s="296" t="str">
        <f t="shared" ca="1" si="49"/>
        <v>PR.IP-320</v>
      </c>
    </row>
    <row r="238" spans="1:8" ht="14" x14ac:dyDescent="0.3">
      <c r="A238" s="293">
        <v>270</v>
      </c>
      <c r="B238" s="293" t="s">
        <v>1156</v>
      </c>
      <c r="C238" s="293" t="s">
        <v>1134</v>
      </c>
      <c r="D238" s="295" t="s">
        <v>134</v>
      </c>
      <c r="E238" s="295">
        <v>2</v>
      </c>
      <c r="F238" s="250">
        <f ca="1">VLOOKUP($D238,Data!$C:$I,7,FALSE)</f>
        <v>0</v>
      </c>
      <c r="G238" s="296" t="str">
        <f t="shared" si="48"/>
        <v>PR.IP-32</v>
      </c>
      <c r="H238" s="296" t="str">
        <f t="shared" ca="1" si="49"/>
        <v>PR.IP-320</v>
      </c>
    </row>
    <row r="239" spans="1:8" ht="14" x14ac:dyDescent="0.3">
      <c r="A239" s="293">
        <v>271</v>
      </c>
      <c r="B239" s="293" t="s">
        <v>1156</v>
      </c>
      <c r="C239" s="293" t="s">
        <v>1135</v>
      </c>
      <c r="D239" s="295" t="s">
        <v>142</v>
      </c>
      <c r="E239" s="295">
        <v>2</v>
      </c>
      <c r="F239" s="250">
        <f ca="1">VLOOKUP($D239,Data!$C:$I,7,FALSE)</f>
        <v>0</v>
      </c>
      <c r="G239" s="296" t="str">
        <f t="shared" si="48"/>
        <v>PR.IP-32</v>
      </c>
      <c r="H239" s="296" t="str">
        <f t="shared" ca="1" si="49"/>
        <v>PR.IP-320</v>
      </c>
    </row>
    <row r="240" spans="1:8" ht="14" x14ac:dyDescent="0.3">
      <c r="A240" s="293">
        <v>272</v>
      </c>
      <c r="B240" s="293" t="s">
        <v>1156</v>
      </c>
      <c r="C240" s="293" t="s">
        <v>1146</v>
      </c>
      <c r="D240" s="295" t="s">
        <v>137</v>
      </c>
      <c r="E240" s="295">
        <v>3</v>
      </c>
      <c r="F240" s="250">
        <f ca="1">VLOOKUP($D240,Data!$C:$I,7,FALSE)</f>
        <v>0</v>
      </c>
      <c r="G240" s="296" t="str">
        <f t="shared" si="48"/>
        <v>PR.IP-33</v>
      </c>
      <c r="H240" s="296" t="str">
        <f t="shared" ca="1" si="49"/>
        <v>PR.IP-330</v>
      </c>
    </row>
    <row r="241" spans="1:8" ht="14" x14ac:dyDescent="0.3">
      <c r="A241" s="293">
        <v>273</v>
      </c>
      <c r="B241" s="293" t="s">
        <v>1156</v>
      </c>
      <c r="C241" s="293" t="s">
        <v>1137</v>
      </c>
      <c r="D241" s="295" t="s">
        <v>139</v>
      </c>
      <c r="E241" s="295">
        <v>3</v>
      </c>
      <c r="F241" s="250">
        <f ca="1">VLOOKUP($D241,Data!$C:$I,7,FALSE)</f>
        <v>0</v>
      </c>
      <c r="G241" s="296" t="str">
        <f t="shared" si="48"/>
        <v>PR.IP-33</v>
      </c>
      <c r="H241" s="296" t="str">
        <f t="shared" ca="1" si="49"/>
        <v>PR.IP-330</v>
      </c>
    </row>
    <row r="242" spans="1:8" ht="14" x14ac:dyDescent="0.3">
      <c r="A242" s="293">
        <v>274</v>
      </c>
      <c r="B242" s="293" t="s">
        <v>1156</v>
      </c>
      <c r="C242" s="293" t="s">
        <v>1138</v>
      </c>
      <c r="D242" s="295" t="s">
        <v>153</v>
      </c>
      <c r="E242" s="295">
        <v>3</v>
      </c>
      <c r="F242" s="250">
        <f ca="1">VLOOKUP($D242,Data!$C:$I,7,FALSE)</f>
        <v>0</v>
      </c>
      <c r="G242" s="296" t="str">
        <f t="shared" si="48"/>
        <v>PR.IP-33</v>
      </c>
      <c r="H242" s="296" t="str">
        <f t="shared" ca="1" si="49"/>
        <v>PR.IP-330</v>
      </c>
    </row>
    <row r="243" spans="1:8" ht="14" x14ac:dyDescent="0.3">
      <c r="A243" s="293">
        <v>275</v>
      </c>
      <c r="B243" s="293" t="s">
        <v>1157</v>
      </c>
      <c r="C243" s="293" t="s">
        <v>1031</v>
      </c>
      <c r="D243" s="295" t="s">
        <v>406</v>
      </c>
      <c r="E243" s="295">
        <v>2</v>
      </c>
      <c r="F243" s="250">
        <f ca="1">VLOOKUP($D243,Data!$C:$I,7,FALSE)</f>
        <v>0</v>
      </c>
      <c r="G243" s="296" t="str">
        <f t="shared" si="48"/>
        <v>PR.IP-42</v>
      </c>
      <c r="H243" s="296" t="str">
        <f t="shared" ca="1" si="49"/>
        <v>PR.IP-420</v>
      </c>
    </row>
    <row r="244" spans="1:8" ht="14" x14ac:dyDescent="0.3">
      <c r="A244" s="293">
        <v>276</v>
      </c>
      <c r="B244" s="293" t="s">
        <v>1157</v>
      </c>
      <c r="C244" s="293" t="s">
        <v>1032</v>
      </c>
      <c r="D244" s="295" t="s">
        <v>406</v>
      </c>
      <c r="E244" s="295">
        <v>2</v>
      </c>
      <c r="F244" s="250">
        <f ca="1">VLOOKUP($D244,Data!$C:$I,7,FALSE)</f>
        <v>0</v>
      </c>
      <c r="G244" s="296" t="str">
        <f t="shared" si="48"/>
        <v>PR.IP-42</v>
      </c>
      <c r="H244" s="296" t="str">
        <f t="shared" ca="1" si="49"/>
        <v>PR.IP-420</v>
      </c>
    </row>
    <row r="245" spans="1:8" ht="14" x14ac:dyDescent="0.3">
      <c r="A245" s="293">
        <v>279</v>
      </c>
      <c r="B245" s="293" t="s">
        <v>1158</v>
      </c>
      <c r="C245" s="293" t="s">
        <v>1134</v>
      </c>
      <c r="D245" s="295" t="s">
        <v>134</v>
      </c>
      <c r="E245" s="295">
        <v>2</v>
      </c>
      <c r="F245" s="250">
        <f ca="1">VLOOKUP($D245,Data!$C:$I,7,FALSE)</f>
        <v>0</v>
      </c>
      <c r="G245" s="296" t="str">
        <f t="shared" si="48"/>
        <v>PR.IP-62</v>
      </c>
      <c r="H245" s="296" t="str">
        <f t="shared" ca="1" si="49"/>
        <v>PR.IP-620</v>
      </c>
    </row>
    <row r="246" spans="1:8" ht="14" x14ac:dyDescent="0.3">
      <c r="A246" s="293">
        <v>280</v>
      </c>
      <c r="B246" s="293" t="s">
        <v>1159</v>
      </c>
      <c r="C246" s="293" t="s">
        <v>1160</v>
      </c>
      <c r="D246" s="295" t="s">
        <v>390</v>
      </c>
      <c r="E246" s="295">
        <v>3</v>
      </c>
      <c r="F246" s="250">
        <f ca="1">VLOOKUP($D246,Data!$C:$I,7,FALSE)</f>
        <v>0</v>
      </c>
      <c r="G246" s="296" t="str">
        <f t="shared" si="48"/>
        <v>PR.IP-73</v>
      </c>
      <c r="H246" s="296" t="str">
        <f t="shared" ca="1" si="49"/>
        <v>PR.IP-730</v>
      </c>
    </row>
    <row r="247" spans="1:8" ht="14" x14ac:dyDescent="0.3">
      <c r="A247" s="293">
        <v>281</v>
      </c>
      <c r="B247" s="293" t="s">
        <v>1161</v>
      </c>
      <c r="C247" s="293" t="s">
        <v>967</v>
      </c>
      <c r="D247" s="295" t="s">
        <v>192</v>
      </c>
      <c r="E247" s="295">
        <v>2</v>
      </c>
      <c r="F247" s="250">
        <f ca="1">VLOOKUP($D247,Data!$C:$I,7,FALSE)</f>
        <v>0</v>
      </c>
      <c r="G247" s="296" t="str">
        <f t="shared" si="48"/>
        <v>PR.IP-82</v>
      </c>
      <c r="H247" s="296" t="str">
        <f t="shared" ca="1" si="49"/>
        <v>PR.IP-820</v>
      </c>
    </row>
    <row r="248" spans="1:8" ht="14" x14ac:dyDescent="0.3">
      <c r="A248" s="293">
        <v>283</v>
      </c>
      <c r="B248" s="293" t="s">
        <v>1161</v>
      </c>
      <c r="C248" s="293" t="s">
        <v>968</v>
      </c>
      <c r="D248" s="295" t="s">
        <v>196</v>
      </c>
      <c r="E248" s="295">
        <v>3</v>
      </c>
      <c r="F248" s="250">
        <f ca="1">VLOOKUP($D248,Data!$C:$I,7,FALSE)</f>
        <v>0</v>
      </c>
      <c r="G248" s="296" t="str">
        <f t="shared" si="48"/>
        <v>PR.IP-83</v>
      </c>
      <c r="H248" s="296" t="str">
        <f t="shared" ca="1" si="49"/>
        <v>PR.IP-830</v>
      </c>
    </row>
    <row r="249" spans="1:8" ht="14" x14ac:dyDescent="0.3">
      <c r="A249" s="293">
        <v>284</v>
      </c>
      <c r="B249" s="293" t="s">
        <v>1161</v>
      </c>
      <c r="C249" s="293" t="s">
        <v>969</v>
      </c>
      <c r="D249" s="295" t="s">
        <v>196</v>
      </c>
      <c r="E249" s="295">
        <v>3</v>
      </c>
      <c r="F249" s="250">
        <f ca="1">VLOOKUP($D249,Data!$C:$I,7,FALSE)</f>
        <v>0</v>
      </c>
      <c r="G249" s="296" t="str">
        <f t="shared" si="48"/>
        <v>PR.IP-83</v>
      </c>
      <c r="H249" s="296" t="str">
        <f t="shared" ca="1" si="49"/>
        <v>PR.IP-830</v>
      </c>
    </row>
    <row r="250" spans="1:8" ht="14" x14ac:dyDescent="0.3">
      <c r="A250" s="293">
        <v>285</v>
      </c>
      <c r="B250" s="293" t="s">
        <v>1161</v>
      </c>
      <c r="C250" s="293" t="s">
        <v>970</v>
      </c>
      <c r="D250" s="295" t="s">
        <v>200</v>
      </c>
      <c r="E250" s="295">
        <v>1</v>
      </c>
      <c r="F250" s="250">
        <f ca="1">VLOOKUP($D250,Data!$C:$I,7,FALSE)</f>
        <v>0</v>
      </c>
      <c r="G250" s="296" t="str">
        <f t="shared" si="48"/>
        <v>PR.IP-81</v>
      </c>
      <c r="H250" s="296" t="str">
        <f t="shared" ca="1" si="49"/>
        <v>PR.IP-810</v>
      </c>
    </row>
    <row r="251" spans="1:8" ht="14" x14ac:dyDescent="0.3">
      <c r="A251" s="293">
        <v>294</v>
      </c>
      <c r="B251" s="293" t="s">
        <v>1162</v>
      </c>
      <c r="C251" s="293" t="s">
        <v>1033</v>
      </c>
      <c r="D251" s="295" t="s">
        <v>403</v>
      </c>
      <c r="E251" s="295">
        <v>1</v>
      </c>
      <c r="F251" s="250">
        <f ca="1">VLOOKUP($D251,Data!$C:$I,7,FALSE)</f>
        <v>0</v>
      </c>
      <c r="G251" s="296" t="str">
        <f t="shared" si="48"/>
        <v>PR.IP-91</v>
      </c>
      <c r="H251" s="296" t="str">
        <f t="shared" ca="1" si="49"/>
        <v>PR.IP-910</v>
      </c>
    </row>
    <row r="252" spans="1:8" ht="14" x14ac:dyDescent="0.3">
      <c r="A252" s="293">
        <v>296</v>
      </c>
      <c r="B252" s="293" t="s">
        <v>1162</v>
      </c>
      <c r="C252" s="293" t="s">
        <v>1163</v>
      </c>
      <c r="D252" s="295" t="s">
        <v>405</v>
      </c>
      <c r="E252" s="295">
        <v>2</v>
      </c>
      <c r="F252" s="250">
        <f ca="1">VLOOKUP($D252,Data!$C:$I,7,FALSE)</f>
        <v>0</v>
      </c>
      <c r="G252" s="296" t="str">
        <f t="shared" si="48"/>
        <v>PR.IP-92</v>
      </c>
      <c r="H252" s="296" t="str">
        <f t="shared" ca="1" si="49"/>
        <v>PR.IP-920</v>
      </c>
    </row>
    <row r="253" spans="1:8" ht="14" x14ac:dyDescent="0.3">
      <c r="A253" s="293">
        <v>297</v>
      </c>
      <c r="B253" s="293" t="s">
        <v>1162</v>
      </c>
      <c r="C253" s="293" t="s">
        <v>1093</v>
      </c>
      <c r="D253" s="295" t="s">
        <v>408</v>
      </c>
      <c r="E253" s="295">
        <v>2</v>
      </c>
      <c r="F253" s="250">
        <f ca="1">VLOOKUP($D253,Data!$C:$I,7,FALSE)</f>
        <v>0</v>
      </c>
      <c r="G253" s="296" t="str">
        <f t="shared" si="48"/>
        <v>PR.IP-92</v>
      </c>
      <c r="H253" s="296" t="str">
        <f t="shared" ca="1" si="49"/>
        <v>PR.IP-920</v>
      </c>
    </row>
    <row r="254" spans="1:8" ht="14" x14ac:dyDescent="0.3">
      <c r="A254" s="293">
        <v>297</v>
      </c>
      <c r="B254" s="293" t="s">
        <v>1162</v>
      </c>
      <c r="C254" s="293" t="s">
        <v>1093</v>
      </c>
      <c r="D254" s="294" t="s">
        <v>411</v>
      </c>
      <c r="E254" s="295">
        <v>3</v>
      </c>
      <c r="F254" s="250">
        <f ca="1">VLOOKUP($D254,Data!$C:$I,7,FALSE)</f>
        <v>0</v>
      </c>
      <c r="G254" s="296" t="str">
        <f t="shared" si="48"/>
        <v>PR.IP-93</v>
      </c>
      <c r="H254" s="296" t="str">
        <f t="shared" ca="1" si="49"/>
        <v>PR.IP-930</v>
      </c>
    </row>
    <row r="255" spans="1:8" ht="14" x14ac:dyDescent="0.3">
      <c r="A255" s="293">
        <v>298</v>
      </c>
      <c r="B255" s="293" t="s">
        <v>1162</v>
      </c>
      <c r="C255" s="293" t="s">
        <v>1164</v>
      </c>
      <c r="D255" s="295" t="s">
        <v>283</v>
      </c>
      <c r="E255" s="295">
        <v>2</v>
      </c>
      <c r="F255" s="250">
        <f ca="1">VLOOKUP($D255,Data!$C:$I,7,FALSE)</f>
        <v>0</v>
      </c>
      <c r="G255" s="296" t="str">
        <f t="shared" si="48"/>
        <v>PR.IP-92</v>
      </c>
      <c r="H255" s="296" t="str">
        <f t="shared" ca="1" si="49"/>
        <v>PR.IP-920</v>
      </c>
    </row>
    <row r="256" spans="1:8" ht="14" x14ac:dyDescent="0.3">
      <c r="A256" s="293">
        <v>301</v>
      </c>
      <c r="B256" s="293" t="s">
        <v>1162</v>
      </c>
      <c r="C256" s="293" t="s">
        <v>1061</v>
      </c>
      <c r="D256" s="295" t="s">
        <v>189</v>
      </c>
      <c r="E256" s="295">
        <v>2</v>
      </c>
      <c r="F256" s="250">
        <f ca="1">VLOOKUP($D256,Data!$C:$I,7,FALSE)</f>
        <v>0</v>
      </c>
      <c r="G256" s="296" t="str">
        <f t="shared" si="48"/>
        <v>PR.IP-92</v>
      </c>
      <c r="H256" s="296" t="str">
        <f t="shared" ca="1" si="49"/>
        <v>PR.IP-920</v>
      </c>
    </row>
    <row r="257" spans="1:8" ht="14" x14ac:dyDescent="0.3">
      <c r="A257" s="293">
        <v>304</v>
      </c>
      <c r="B257" s="293" t="s">
        <v>1162</v>
      </c>
      <c r="C257" s="293" t="s">
        <v>1165</v>
      </c>
      <c r="D257" s="295" t="s">
        <v>413</v>
      </c>
      <c r="E257" s="295">
        <v>3</v>
      </c>
      <c r="F257" s="250">
        <f ca="1">VLOOKUP($D257,Data!$C:$I,7,FALSE)</f>
        <v>0</v>
      </c>
      <c r="G257" s="296" t="str">
        <f t="shared" si="48"/>
        <v>PR.IP-93</v>
      </c>
      <c r="H257" s="296" t="str">
        <f t="shared" ca="1" si="49"/>
        <v>PR.IP-930</v>
      </c>
    </row>
    <row r="258" spans="1:8" ht="14" x14ac:dyDescent="0.3">
      <c r="A258" s="293">
        <v>305</v>
      </c>
      <c r="B258" s="293" t="s">
        <v>1162</v>
      </c>
      <c r="C258" s="293" t="s">
        <v>1166</v>
      </c>
      <c r="D258" s="295" t="s">
        <v>417</v>
      </c>
      <c r="E258" s="295">
        <v>3</v>
      </c>
      <c r="F258" s="250">
        <f ca="1">VLOOKUP($D258,Data!$C:$I,7,FALSE)</f>
        <v>0</v>
      </c>
      <c r="G258" s="296" t="str">
        <f t="shared" ref="G258:G321" si="50">CONCATENATE($B258,$E258)</f>
        <v>PR.IP-93</v>
      </c>
      <c r="H258" s="296" t="str">
        <f t="shared" ref="H258:H321" ca="1" si="51">_xlfn.IFNA(CONCATENATE($B258,$E258,$F258),CONCATENATE($B258,$E258,0))</f>
        <v>PR.IP-930</v>
      </c>
    </row>
    <row r="259" spans="1:8" ht="14" x14ac:dyDescent="0.3">
      <c r="A259" s="293">
        <v>306</v>
      </c>
      <c r="B259" s="293" t="s">
        <v>1162</v>
      </c>
      <c r="C259" s="293" t="s">
        <v>1167</v>
      </c>
      <c r="D259" s="295" t="s">
        <v>287</v>
      </c>
      <c r="E259" s="295">
        <v>3</v>
      </c>
      <c r="F259" s="250">
        <f ca="1">VLOOKUP($D259,Data!$C:$I,7,FALSE)</f>
        <v>0</v>
      </c>
      <c r="G259" s="296" t="str">
        <f t="shared" si="50"/>
        <v>PR.IP-93</v>
      </c>
      <c r="H259" s="296" t="str">
        <f t="shared" ca="1" si="51"/>
        <v>PR.IP-930</v>
      </c>
    </row>
    <row r="260" spans="1:8" ht="14" x14ac:dyDescent="0.3">
      <c r="A260" s="293">
        <v>309</v>
      </c>
      <c r="B260" s="293" t="s">
        <v>1162</v>
      </c>
      <c r="C260" s="293" t="s">
        <v>1168</v>
      </c>
      <c r="D260" s="295" t="s">
        <v>286</v>
      </c>
      <c r="E260" s="295">
        <v>2</v>
      </c>
      <c r="F260" s="250">
        <f ca="1">VLOOKUP($D260,Data!$C:$I,7,FALSE)</f>
        <v>0</v>
      </c>
      <c r="G260" s="296" t="str">
        <f t="shared" si="50"/>
        <v>PR.IP-92</v>
      </c>
      <c r="H260" s="296" t="str">
        <f t="shared" ca="1" si="51"/>
        <v>PR.IP-920</v>
      </c>
    </row>
    <row r="261" spans="1:8" ht="14" x14ac:dyDescent="0.3">
      <c r="A261" s="293">
        <v>310</v>
      </c>
      <c r="B261" s="293" t="s">
        <v>1162</v>
      </c>
      <c r="C261" s="293" t="s">
        <v>1169</v>
      </c>
      <c r="D261" s="295" t="s">
        <v>285</v>
      </c>
      <c r="E261" s="295">
        <v>2</v>
      </c>
      <c r="F261" s="250">
        <f ca="1">VLOOKUP($D261,Data!$C:$I,7,FALSE)</f>
        <v>0</v>
      </c>
      <c r="G261" s="296" t="str">
        <f t="shared" si="50"/>
        <v>PR.IP-92</v>
      </c>
      <c r="H261" s="296" t="str">
        <f t="shared" ca="1" si="51"/>
        <v>PR.IP-920</v>
      </c>
    </row>
    <row r="262" spans="1:8" ht="14" x14ac:dyDescent="0.3">
      <c r="A262" s="293">
        <v>311</v>
      </c>
      <c r="B262" s="293" t="s">
        <v>1162</v>
      </c>
      <c r="C262" s="293" t="s">
        <v>1017</v>
      </c>
      <c r="D262" s="295" t="s">
        <v>65</v>
      </c>
      <c r="E262" s="295">
        <v>2</v>
      </c>
      <c r="F262" s="250">
        <f ca="1">VLOOKUP($D262,Data!$C:$I,7,FALSE)</f>
        <v>0</v>
      </c>
      <c r="G262" s="296" t="str">
        <f t="shared" si="50"/>
        <v>PR.IP-92</v>
      </c>
      <c r="H262" s="296" t="str">
        <f t="shared" ca="1" si="51"/>
        <v>PR.IP-920</v>
      </c>
    </row>
    <row r="263" spans="1:8" ht="14" x14ac:dyDescent="0.3">
      <c r="A263" s="293">
        <v>312</v>
      </c>
      <c r="B263" s="293" t="s">
        <v>1170</v>
      </c>
      <c r="C263" s="293" t="s">
        <v>1092</v>
      </c>
      <c r="D263" s="295" t="s">
        <v>276</v>
      </c>
      <c r="E263" s="295">
        <v>2</v>
      </c>
      <c r="F263" s="250">
        <f ca="1">VLOOKUP($D263,Data!$C:$I,7,FALSE)</f>
        <v>0</v>
      </c>
      <c r="G263" s="296" t="str">
        <f t="shared" si="50"/>
        <v>PR.IP-102</v>
      </c>
      <c r="H263" s="296" t="str">
        <f t="shared" ca="1" si="51"/>
        <v>PR.IP-1020</v>
      </c>
    </row>
    <row r="264" spans="1:8" ht="14" x14ac:dyDescent="0.3">
      <c r="A264" s="293">
        <v>313</v>
      </c>
      <c r="B264" s="293" t="s">
        <v>1170</v>
      </c>
      <c r="C264" s="293" t="s">
        <v>1093</v>
      </c>
      <c r="D264" s="295" t="s">
        <v>408</v>
      </c>
      <c r="E264" s="295">
        <v>2</v>
      </c>
      <c r="F264" s="250">
        <f ca="1">VLOOKUP($D264,Data!$C:$I,7,FALSE)</f>
        <v>0</v>
      </c>
      <c r="G264" s="296" t="str">
        <f t="shared" si="50"/>
        <v>PR.IP-102</v>
      </c>
      <c r="H264" s="296" t="str">
        <f t="shared" ca="1" si="51"/>
        <v>PR.IP-1020</v>
      </c>
    </row>
    <row r="265" spans="1:8" ht="14" x14ac:dyDescent="0.3">
      <c r="A265" s="293">
        <v>313</v>
      </c>
      <c r="B265" s="293" t="s">
        <v>1170</v>
      </c>
      <c r="C265" s="293" t="s">
        <v>1093</v>
      </c>
      <c r="D265" s="294" t="s">
        <v>411</v>
      </c>
      <c r="E265" s="295">
        <v>3</v>
      </c>
      <c r="F265" s="250">
        <f ca="1">VLOOKUP($D265,Data!$C:$I,7,FALSE)</f>
        <v>0</v>
      </c>
      <c r="G265" s="296" t="str">
        <f t="shared" si="50"/>
        <v>PR.IP-103</v>
      </c>
      <c r="H265" s="296" t="str">
        <f t="shared" ca="1" si="51"/>
        <v>PR.IP-1030</v>
      </c>
    </row>
    <row r="266" spans="1:8" ht="14" x14ac:dyDescent="0.3">
      <c r="A266" s="293">
        <v>315</v>
      </c>
      <c r="B266" s="293" t="s">
        <v>1170</v>
      </c>
      <c r="C266" s="293" t="s">
        <v>1165</v>
      </c>
      <c r="D266" s="295" t="s">
        <v>413</v>
      </c>
      <c r="E266" s="295">
        <v>3</v>
      </c>
      <c r="F266" s="250">
        <f ca="1">VLOOKUP($D266,Data!$C:$I,7,FALSE)</f>
        <v>0</v>
      </c>
      <c r="G266" s="296" t="str">
        <f t="shared" si="50"/>
        <v>PR.IP-103</v>
      </c>
      <c r="H266" s="296" t="str">
        <f t="shared" ca="1" si="51"/>
        <v>PR.IP-1030</v>
      </c>
    </row>
    <row r="267" spans="1:8" ht="14" x14ac:dyDescent="0.3">
      <c r="A267" s="293">
        <v>316</v>
      </c>
      <c r="B267" s="293" t="s">
        <v>1170</v>
      </c>
      <c r="C267" s="293" t="s">
        <v>1166</v>
      </c>
      <c r="D267" s="295" t="s">
        <v>417</v>
      </c>
      <c r="E267" s="295">
        <v>3</v>
      </c>
      <c r="F267" s="250">
        <f ca="1">VLOOKUP($D267,Data!$C:$I,7,FALSE)</f>
        <v>0</v>
      </c>
      <c r="G267" s="296" t="str">
        <f t="shared" si="50"/>
        <v>PR.IP-103</v>
      </c>
      <c r="H267" s="296" t="str">
        <f t="shared" ca="1" si="51"/>
        <v>PR.IP-1030</v>
      </c>
    </row>
    <row r="268" spans="1:8" ht="14" x14ac:dyDescent="0.3">
      <c r="A268" s="293">
        <v>317</v>
      </c>
      <c r="B268" s="293" t="s">
        <v>996</v>
      </c>
      <c r="C268" s="293" t="s">
        <v>1171</v>
      </c>
      <c r="D268" s="295" t="s">
        <v>331</v>
      </c>
      <c r="E268" s="295">
        <v>1</v>
      </c>
      <c r="F268" s="250">
        <f ca="1">VLOOKUP($D268,Data!$C:$I,7,FALSE)</f>
        <v>0</v>
      </c>
      <c r="G268" s="296" t="str">
        <f t="shared" si="50"/>
        <v>PR.IP-111</v>
      </c>
      <c r="H268" s="296" t="str">
        <f t="shared" ca="1" si="51"/>
        <v>PR.IP-1110</v>
      </c>
    </row>
    <row r="269" spans="1:8" ht="14" x14ac:dyDescent="0.3">
      <c r="A269" s="293">
        <v>318</v>
      </c>
      <c r="B269" s="293" t="s">
        <v>996</v>
      </c>
      <c r="C269" s="293" t="s">
        <v>1172</v>
      </c>
      <c r="D269" s="295" t="s">
        <v>332</v>
      </c>
      <c r="E269" s="295">
        <v>1</v>
      </c>
      <c r="F269" s="250">
        <f ca="1">VLOOKUP($D269,Data!$C:$I,7,FALSE)</f>
        <v>0</v>
      </c>
      <c r="G269" s="296" t="str">
        <f t="shared" si="50"/>
        <v>PR.IP-111</v>
      </c>
      <c r="H269" s="296" t="str">
        <f t="shared" ca="1" si="51"/>
        <v>PR.IP-1110</v>
      </c>
    </row>
    <row r="270" spans="1:8" ht="14" x14ac:dyDescent="0.3">
      <c r="A270" s="293">
        <v>319</v>
      </c>
      <c r="B270" s="293" t="s">
        <v>996</v>
      </c>
      <c r="C270" s="293" t="s">
        <v>1173</v>
      </c>
      <c r="D270" s="295" t="s">
        <v>333</v>
      </c>
      <c r="E270" s="295">
        <v>2</v>
      </c>
      <c r="F270" s="250">
        <f ca="1">VLOOKUP($D270,Data!$C:$I,7,FALSE)</f>
        <v>0</v>
      </c>
      <c r="G270" s="296" t="str">
        <f t="shared" si="50"/>
        <v>PR.IP-112</v>
      </c>
      <c r="H270" s="296" t="str">
        <f t="shared" ca="1" si="51"/>
        <v>PR.IP-1120</v>
      </c>
    </row>
    <row r="271" spans="1:8" ht="14" x14ac:dyDescent="0.3">
      <c r="A271" s="293">
        <v>320</v>
      </c>
      <c r="B271" s="293" t="s">
        <v>996</v>
      </c>
      <c r="C271" s="293" t="s">
        <v>1039</v>
      </c>
      <c r="D271" s="295" t="s">
        <v>334</v>
      </c>
      <c r="E271" s="295">
        <v>2</v>
      </c>
      <c r="F271" s="250">
        <f ca="1">VLOOKUP($D271,Data!$C:$I,7,FALSE)</f>
        <v>0</v>
      </c>
      <c r="G271" s="296" t="str">
        <f t="shared" si="50"/>
        <v>PR.IP-112</v>
      </c>
      <c r="H271" s="296" t="str">
        <f t="shared" ca="1" si="51"/>
        <v>PR.IP-1120</v>
      </c>
    </row>
    <row r="272" spans="1:8" ht="14" x14ac:dyDescent="0.3">
      <c r="A272" s="293">
        <v>322</v>
      </c>
      <c r="B272" s="293" t="s">
        <v>996</v>
      </c>
      <c r="C272" s="293" t="s">
        <v>1174</v>
      </c>
      <c r="D272" s="295" t="s">
        <v>335</v>
      </c>
      <c r="E272" s="295">
        <v>3</v>
      </c>
      <c r="F272" s="250">
        <f ca="1">VLOOKUP($D272,Data!$C:$I,7,FALSE)</f>
        <v>0</v>
      </c>
      <c r="G272" s="296" t="str">
        <f t="shared" si="50"/>
        <v>PR.IP-113</v>
      </c>
      <c r="H272" s="296" t="str">
        <f t="shared" ca="1" si="51"/>
        <v>PR.IP-1130</v>
      </c>
    </row>
    <row r="273" spans="1:8" ht="14" x14ac:dyDescent="0.3">
      <c r="A273" s="293">
        <v>324</v>
      </c>
      <c r="B273" s="293" t="s">
        <v>996</v>
      </c>
      <c r="C273" s="293" t="s">
        <v>1175</v>
      </c>
      <c r="D273" s="295" t="s">
        <v>336</v>
      </c>
      <c r="E273" s="295">
        <v>3</v>
      </c>
      <c r="F273" s="250">
        <f ca="1">VLOOKUP($D273,Data!$C:$I,7,FALSE)</f>
        <v>0</v>
      </c>
      <c r="G273" s="296" t="str">
        <f t="shared" si="50"/>
        <v>PR.IP-113</v>
      </c>
      <c r="H273" s="296" t="str">
        <f t="shared" ca="1" si="51"/>
        <v>PR.IP-1130</v>
      </c>
    </row>
    <row r="274" spans="1:8" ht="14" x14ac:dyDescent="0.3">
      <c r="A274" s="293">
        <v>325</v>
      </c>
      <c r="B274" s="293" t="s">
        <v>1176</v>
      </c>
      <c r="C274" s="293" t="s">
        <v>1177</v>
      </c>
      <c r="D274" s="295" t="s">
        <v>218</v>
      </c>
      <c r="E274" s="295">
        <v>2</v>
      </c>
      <c r="F274" s="250">
        <f ca="1">VLOOKUP($D274,Data!$C:$I,7,FALSE)</f>
        <v>0</v>
      </c>
      <c r="G274" s="296" t="str">
        <f t="shared" si="50"/>
        <v>PR.IP-122</v>
      </c>
      <c r="H274" s="296" t="str">
        <f t="shared" ca="1" si="51"/>
        <v>PR.IP-1220</v>
      </c>
    </row>
    <row r="275" spans="1:8" ht="14" x14ac:dyDescent="0.3">
      <c r="A275" s="293">
        <v>326</v>
      </c>
      <c r="B275" s="293" t="s">
        <v>1176</v>
      </c>
      <c r="C275" s="293" t="s">
        <v>1178</v>
      </c>
      <c r="D275" s="295" t="s">
        <v>222</v>
      </c>
      <c r="E275" s="295">
        <v>3</v>
      </c>
      <c r="F275" s="250">
        <f ca="1">VLOOKUP($D275,Data!$C:$I,7,FALSE)</f>
        <v>0</v>
      </c>
      <c r="G275" s="296" t="str">
        <f t="shared" si="50"/>
        <v>PR.IP-123</v>
      </c>
      <c r="H275" s="296" t="str">
        <f t="shared" ca="1" si="51"/>
        <v>PR.IP-1230</v>
      </c>
    </row>
    <row r="276" spans="1:8" ht="14" x14ac:dyDescent="0.3">
      <c r="A276" s="293">
        <v>327</v>
      </c>
      <c r="B276" s="293" t="s">
        <v>1179</v>
      </c>
      <c r="C276" s="293" t="s">
        <v>1132</v>
      </c>
      <c r="D276" s="295" t="s">
        <v>128</v>
      </c>
      <c r="E276" s="295">
        <v>1</v>
      </c>
      <c r="F276" s="250">
        <f ca="1">VLOOKUP($D276,Data!$C:$I,7,FALSE)</f>
        <v>0</v>
      </c>
      <c r="G276" s="296" t="str">
        <f t="shared" si="50"/>
        <v>PR.MA-11</v>
      </c>
      <c r="H276" s="296" t="str">
        <f t="shared" ca="1" si="51"/>
        <v>PR.MA-110</v>
      </c>
    </row>
    <row r="277" spans="1:8" ht="14" x14ac:dyDescent="0.3">
      <c r="A277" s="293">
        <v>328</v>
      </c>
      <c r="B277" s="293" t="s">
        <v>1179</v>
      </c>
      <c r="C277" s="293" t="s">
        <v>1136</v>
      </c>
      <c r="D277" s="295" t="s">
        <v>145</v>
      </c>
      <c r="E277" s="295">
        <v>2</v>
      </c>
      <c r="F277" s="250">
        <f ca="1">VLOOKUP($D277,Data!$C:$I,7,FALSE)</f>
        <v>0</v>
      </c>
      <c r="G277" s="296" t="str">
        <f t="shared" si="50"/>
        <v>PR.MA-12</v>
      </c>
      <c r="H277" s="296" t="str">
        <f t="shared" ca="1" si="51"/>
        <v>PR.MA-120</v>
      </c>
    </row>
    <row r="278" spans="1:8" ht="14" x14ac:dyDescent="0.3">
      <c r="A278" s="293">
        <v>329</v>
      </c>
      <c r="B278" s="293" t="s">
        <v>1179</v>
      </c>
      <c r="C278" s="293" t="s">
        <v>1137</v>
      </c>
      <c r="D278" s="295" t="s">
        <v>139</v>
      </c>
      <c r="E278" s="295">
        <v>3</v>
      </c>
      <c r="F278" s="250">
        <f ca="1">VLOOKUP($D278,Data!$C:$I,7,FALSE)</f>
        <v>0</v>
      </c>
      <c r="G278" s="296" t="str">
        <f t="shared" si="50"/>
        <v>PR.MA-13</v>
      </c>
      <c r="H278" s="296" t="str">
        <f t="shared" ca="1" si="51"/>
        <v>PR.MA-130</v>
      </c>
    </row>
    <row r="279" spans="1:8" ht="14" x14ac:dyDescent="0.3">
      <c r="A279" s="293">
        <v>330</v>
      </c>
      <c r="B279" s="293" t="s">
        <v>997</v>
      </c>
      <c r="C279" s="293" t="s">
        <v>1180</v>
      </c>
      <c r="D279" s="295" t="s">
        <v>225</v>
      </c>
      <c r="E279" s="295">
        <v>1</v>
      </c>
      <c r="F279" s="250">
        <f ca="1">VLOOKUP($D279,Data!$C:$I,7,FALSE)</f>
        <v>0</v>
      </c>
      <c r="G279" s="296" t="str">
        <f t="shared" si="50"/>
        <v>PR.MA-21</v>
      </c>
      <c r="H279" s="296" t="str">
        <f t="shared" ca="1" si="51"/>
        <v>PR.MA-210</v>
      </c>
    </row>
    <row r="280" spans="1:8" ht="14" x14ac:dyDescent="0.3">
      <c r="A280" s="293">
        <v>332</v>
      </c>
      <c r="B280" s="293" t="s">
        <v>997</v>
      </c>
      <c r="C280" s="293" t="s">
        <v>1104</v>
      </c>
      <c r="D280" s="295" t="s">
        <v>169</v>
      </c>
      <c r="E280" s="295">
        <v>1</v>
      </c>
      <c r="F280" s="250">
        <f ca="1">VLOOKUP($D280,Data!$C:$I,7,FALSE)</f>
        <v>0</v>
      </c>
      <c r="G280" s="296" t="str">
        <f t="shared" si="50"/>
        <v>PR.MA-21</v>
      </c>
      <c r="H280" s="296" t="str">
        <f t="shared" ca="1" si="51"/>
        <v>PR.MA-210</v>
      </c>
    </row>
    <row r="281" spans="1:8" ht="14" x14ac:dyDescent="0.3">
      <c r="A281" s="293">
        <v>333</v>
      </c>
      <c r="B281" s="293" t="s">
        <v>997</v>
      </c>
      <c r="C281" s="293" t="s">
        <v>1106</v>
      </c>
      <c r="D281" s="295" t="s">
        <v>171</v>
      </c>
      <c r="E281" s="295">
        <v>1</v>
      </c>
      <c r="F281" s="250">
        <f ca="1">VLOOKUP($D281,Data!$C:$I,7,FALSE)</f>
        <v>0</v>
      </c>
      <c r="G281" s="296" t="str">
        <f t="shared" si="50"/>
        <v>PR.MA-21</v>
      </c>
      <c r="H281" s="296" t="str">
        <f t="shared" ca="1" si="51"/>
        <v>PR.MA-210</v>
      </c>
    </row>
    <row r="282" spans="1:8" ht="14" x14ac:dyDescent="0.3">
      <c r="A282" s="293">
        <v>334</v>
      </c>
      <c r="B282" s="293" t="s">
        <v>997</v>
      </c>
      <c r="C282" s="293" t="s">
        <v>1107</v>
      </c>
      <c r="D282" s="295" t="s">
        <v>172</v>
      </c>
      <c r="E282" s="295">
        <v>2</v>
      </c>
      <c r="F282" s="250">
        <f ca="1">VLOOKUP($D282,Data!$C:$I,7,FALSE)</f>
        <v>0</v>
      </c>
      <c r="G282" s="296" t="str">
        <f t="shared" si="50"/>
        <v>PR.MA-22</v>
      </c>
      <c r="H282" s="296" t="str">
        <f t="shared" ca="1" si="51"/>
        <v>PR.MA-220</v>
      </c>
    </row>
    <row r="283" spans="1:8" ht="14" x14ac:dyDescent="0.3">
      <c r="A283" s="293">
        <v>335</v>
      </c>
      <c r="B283" s="293" t="s">
        <v>997</v>
      </c>
      <c r="C283" s="293" t="s">
        <v>1108</v>
      </c>
      <c r="D283" s="295" t="s">
        <v>173</v>
      </c>
      <c r="E283" s="295">
        <v>2</v>
      </c>
      <c r="F283" s="250">
        <f ca="1">VLOOKUP($D283,Data!$C:$I,7,FALSE)</f>
        <v>0</v>
      </c>
      <c r="G283" s="296" t="str">
        <f t="shared" si="50"/>
        <v>PR.MA-22</v>
      </c>
      <c r="H283" s="296" t="str">
        <f t="shared" ca="1" si="51"/>
        <v>PR.MA-220</v>
      </c>
    </row>
    <row r="284" spans="1:8" ht="14" x14ac:dyDescent="0.3">
      <c r="A284" s="293">
        <v>336</v>
      </c>
      <c r="B284" s="293" t="s">
        <v>997</v>
      </c>
      <c r="C284" s="293" t="s">
        <v>1109</v>
      </c>
      <c r="D284" s="295" t="s">
        <v>174</v>
      </c>
      <c r="E284" s="295">
        <v>2</v>
      </c>
      <c r="F284" s="250">
        <f ca="1">VLOOKUP($D284,Data!$C:$I,7,FALSE)</f>
        <v>0</v>
      </c>
      <c r="G284" s="296" t="str">
        <f t="shared" si="50"/>
        <v>PR.MA-22</v>
      </c>
      <c r="H284" s="296" t="str">
        <f t="shared" ca="1" si="51"/>
        <v>PR.MA-220</v>
      </c>
    </row>
    <row r="285" spans="1:8" ht="14" x14ac:dyDescent="0.3">
      <c r="A285" s="293">
        <v>337</v>
      </c>
      <c r="B285" s="293" t="s">
        <v>997</v>
      </c>
      <c r="C285" s="293" t="s">
        <v>1110</v>
      </c>
      <c r="D285" s="295" t="s">
        <v>175</v>
      </c>
      <c r="E285" s="295">
        <v>3</v>
      </c>
      <c r="F285" s="250">
        <f ca="1">VLOOKUP($D285,Data!$C:$I,7,FALSE)</f>
        <v>0</v>
      </c>
      <c r="G285" s="296" t="str">
        <f t="shared" si="50"/>
        <v>PR.MA-23</v>
      </c>
      <c r="H285" s="296" t="str">
        <f t="shared" ca="1" si="51"/>
        <v>PR.MA-230</v>
      </c>
    </row>
    <row r="286" spans="1:8" ht="14" x14ac:dyDescent="0.3">
      <c r="A286" s="293">
        <v>339</v>
      </c>
      <c r="B286" s="293" t="s">
        <v>1181</v>
      </c>
      <c r="C286" s="293" t="s">
        <v>1180</v>
      </c>
      <c r="D286" s="295" t="s">
        <v>225</v>
      </c>
      <c r="E286" s="295">
        <v>1</v>
      </c>
      <c r="F286" s="250">
        <f ca="1">VLOOKUP($D286,Data!$C:$I,7,FALSE)</f>
        <v>0</v>
      </c>
      <c r="G286" s="296" t="str">
        <f t="shared" si="50"/>
        <v>PR.PT-11</v>
      </c>
      <c r="H286" s="296" t="str">
        <f t="shared" ca="1" si="51"/>
        <v>PR.PT-110</v>
      </c>
    </row>
    <row r="287" spans="1:8" ht="14" x14ac:dyDescent="0.3">
      <c r="A287" s="293">
        <v>340</v>
      </c>
      <c r="B287" s="293" t="s">
        <v>1181</v>
      </c>
      <c r="C287" s="293" t="s">
        <v>1182</v>
      </c>
      <c r="D287" s="295" t="s">
        <v>229</v>
      </c>
      <c r="E287" s="295">
        <v>1</v>
      </c>
      <c r="F287" s="250">
        <f ca="1">VLOOKUP($D287,Data!$C:$I,7,FALSE)</f>
        <v>0</v>
      </c>
      <c r="G287" s="296" t="str">
        <f t="shared" si="50"/>
        <v>PR.PT-11</v>
      </c>
      <c r="H287" s="296" t="str">
        <f t="shared" ca="1" si="51"/>
        <v>PR.PT-110</v>
      </c>
    </row>
    <row r="288" spans="1:8" ht="14" x14ac:dyDescent="0.3">
      <c r="A288" s="293">
        <v>341</v>
      </c>
      <c r="B288" s="293" t="s">
        <v>1181</v>
      </c>
      <c r="C288" s="293" t="s">
        <v>1150</v>
      </c>
      <c r="D288" s="295" t="s">
        <v>226</v>
      </c>
      <c r="E288" s="295">
        <v>2</v>
      </c>
      <c r="F288" s="250">
        <f ca="1">VLOOKUP($D288,Data!$C:$I,7,FALSE)</f>
        <v>0</v>
      </c>
      <c r="G288" s="296" t="str">
        <f t="shared" si="50"/>
        <v>PR.PT-12</v>
      </c>
      <c r="H288" s="296" t="str">
        <f t="shared" ca="1" si="51"/>
        <v>PR.PT-120</v>
      </c>
    </row>
    <row r="289" spans="1:8" ht="14" x14ac:dyDescent="0.3">
      <c r="A289" s="293">
        <v>342</v>
      </c>
      <c r="B289" s="293" t="s">
        <v>1181</v>
      </c>
      <c r="C289" s="293" t="s">
        <v>1183</v>
      </c>
      <c r="D289" s="295" t="s">
        <v>227</v>
      </c>
      <c r="E289" s="295">
        <v>2</v>
      </c>
      <c r="F289" s="250">
        <f ca="1">VLOOKUP($D289,Data!$C:$I,7,FALSE)</f>
        <v>0</v>
      </c>
      <c r="G289" s="296" t="str">
        <f t="shared" si="50"/>
        <v>PR.PT-12</v>
      </c>
      <c r="H289" s="296" t="str">
        <f t="shared" ca="1" si="51"/>
        <v>PR.PT-120</v>
      </c>
    </row>
    <row r="290" spans="1:8" ht="14" x14ac:dyDescent="0.3">
      <c r="A290" s="293">
        <v>343</v>
      </c>
      <c r="B290" s="293" t="s">
        <v>1181</v>
      </c>
      <c r="C290" s="293" t="s">
        <v>1143</v>
      </c>
      <c r="D290" s="295" t="s">
        <v>232</v>
      </c>
      <c r="E290" s="295">
        <v>2</v>
      </c>
      <c r="F290" s="250">
        <f ca="1">VLOOKUP($D290,Data!$C:$I,7,FALSE)</f>
        <v>0</v>
      </c>
      <c r="G290" s="296" t="str">
        <f t="shared" si="50"/>
        <v>PR.PT-12</v>
      </c>
      <c r="H290" s="296" t="str">
        <f t="shared" ca="1" si="51"/>
        <v>PR.PT-120</v>
      </c>
    </row>
    <row r="291" spans="1:8" ht="14" x14ac:dyDescent="0.3">
      <c r="A291" s="293">
        <v>344</v>
      </c>
      <c r="B291" s="293" t="s">
        <v>1181</v>
      </c>
      <c r="C291" s="293" t="s">
        <v>1184</v>
      </c>
      <c r="D291" s="295" t="s">
        <v>248</v>
      </c>
      <c r="E291" s="295">
        <v>2</v>
      </c>
      <c r="F291" s="250">
        <f ca="1">VLOOKUP($D291,Data!$C:$I,7,FALSE)</f>
        <v>0</v>
      </c>
      <c r="G291" s="296" t="str">
        <f t="shared" si="50"/>
        <v>PR.PT-12</v>
      </c>
      <c r="H291" s="296" t="str">
        <f t="shared" ca="1" si="51"/>
        <v>PR.PT-120</v>
      </c>
    </row>
    <row r="292" spans="1:8" ht="14" x14ac:dyDescent="0.3">
      <c r="A292" s="293">
        <v>345</v>
      </c>
      <c r="B292" s="293" t="s">
        <v>1181</v>
      </c>
      <c r="C292" s="293" t="s">
        <v>1185</v>
      </c>
      <c r="D292" s="295" t="s">
        <v>228</v>
      </c>
      <c r="E292" s="295">
        <v>3</v>
      </c>
      <c r="F292" s="250">
        <f ca="1">VLOOKUP($D292,Data!$C:$I,7,FALSE)</f>
        <v>0</v>
      </c>
      <c r="G292" s="296" t="str">
        <f t="shared" si="50"/>
        <v>PR.PT-13</v>
      </c>
      <c r="H292" s="296" t="str">
        <f t="shared" ca="1" si="51"/>
        <v>PR.PT-130</v>
      </c>
    </row>
    <row r="293" spans="1:8" ht="14" x14ac:dyDescent="0.3">
      <c r="A293" s="293">
        <v>347</v>
      </c>
      <c r="B293" s="293" t="s">
        <v>1181</v>
      </c>
      <c r="C293" s="293" t="s">
        <v>1186</v>
      </c>
      <c r="D293" s="295" t="s">
        <v>252</v>
      </c>
      <c r="E293" s="295">
        <v>3</v>
      </c>
      <c r="F293" s="250">
        <f ca="1">VLOOKUP($D293,Data!$C:$I,7,FALSE)</f>
        <v>0</v>
      </c>
      <c r="G293" s="296" t="str">
        <f t="shared" si="50"/>
        <v>PR.PT-13</v>
      </c>
      <c r="H293" s="296" t="str">
        <f t="shared" ca="1" si="51"/>
        <v>PR.PT-130</v>
      </c>
    </row>
    <row r="294" spans="1:8" ht="14" x14ac:dyDescent="0.3">
      <c r="A294" s="293">
        <v>350</v>
      </c>
      <c r="B294" s="293" t="s">
        <v>998</v>
      </c>
      <c r="C294" s="293" t="s">
        <v>1104</v>
      </c>
      <c r="D294" s="295" t="s">
        <v>169</v>
      </c>
      <c r="E294" s="295">
        <v>1</v>
      </c>
      <c r="F294" s="250">
        <f ca="1">VLOOKUP($D294,Data!$C:$I,7,FALSE)</f>
        <v>0</v>
      </c>
      <c r="G294" s="296" t="str">
        <f t="shared" si="50"/>
        <v>PR.PT-21</v>
      </c>
      <c r="H294" s="296" t="str">
        <f t="shared" ca="1" si="51"/>
        <v>PR.PT-210</v>
      </c>
    </row>
    <row r="295" spans="1:8" ht="14" x14ac:dyDescent="0.3">
      <c r="A295" s="293">
        <v>351</v>
      </c>
      <c r="B295" s="293" t="s">
        <v>998</v>
      </c>
      <c r="C295" s="293" t="s">
        <v>1105</v>
      </c>
      <c r="D295" s="295" t="s">
        <v>170</v>
      </c>
      <c r="E295" s="295">
        <v>1</v>
      </c>
      <c r="F295" s="250">
        <f ca="1">VLOOKUP($D295,Data!$C:$I,7,FALSE)</f>
        <v>0</v>
      </c>
      <c r="G295" s="296" t="str">
        <f t="shared" si="50"/>
        <v>PR.PT-21</v>
      </c>
      <c r="H295" s="296" t="str">
        <f t="shared" ca="1" si="51"/>
        <v>PR.PT-210</v>
      </c>
    </row>
    <row r="296" spans="1:8" ht="14" x14ac:dyDescent="0.3">
      <c r="A296" s="293">
        <v>352</v>
      </c>
      <c r="B296" s="293" t="s">
        <v>998</v>
      </c>
      <c r="C296" s="293" t="s">
        <v>1106</v>
      </c>
      <c r="D296" s="295" t="s">
        <v>171</v>
      </c>
      <c r="E296" s="295">
        <v>1</v>
      </c>
      <c r="F296" s="250">
        <f ca="1">VLOOKUP($D296,Data!$C:$I,7,FALSE)</f>
        <v>0</v>
      </c>
      <c r="G296" s="296" t="str">
        <f t="shared" si="50"/>
        <v>PR.PT-21</v>
      </c>
      <c r="H296" s="296" t="str">
        <f t="shared" ca="1" si="51"/>
        <v>PR.PT-210</v>
      </c>
    </row>
    <row r="297" spans="1:8" ht="14" x14ac:dyDescent="0.3">
      <c r="A297" s="293">
        <v>353</v>
      </c>
      <c r="B297" s="293" t="s">
        <v>998</v>
      </c>
      <c r="C297" s="293" t="s">
        <v>1187</v>
      </c>
      <c r="D297" s="295" t="s">
        <v>183</v>
      </c>
      <c r="E297" s="295">
        <v>3</v>
      </c>
      <c r="F297" s="250">
        <f ca="1">VLOOKUP($D297,Data!$C:$I,7,FALSE)</f>
        <v>0</v>
      </c>
      <c r="G297" s="296" t="str">
        <f t="shared" si="50"/>
        <v>PR.PT-23</v>
      </c>
      <c r="H297" s="296" t="str">
        <f t="shared" ca="1" si="51"/>
        <v>PR.PT-230</v>
      </c>
    </row>
    <row r="298" spans="1:8" ht="14" x14ac:dyDescent="0.3">
      <c r="A298" s="293">
        <v>355</v>
      </c>
      <c r="B298" s="293" t="s">
        <v>999</v>
      </c>
      <c r="C298" s="293" t="s">
        <v>1104</v>
      </c>
      <c r="D298" s="295" t="s">
        <v>169</v>
      </c>
      <c r="E298" s="295">
        <v>1</v>
      </c>
      <c r="F298" s="250">
        <f ca="1">VLOOKUP($D298,Data!$C:$I,7,FALSE)</f>
        <v>0</v>
      </c>
      <c r="G298" s="296" t="str">
        <f t="shared" si="50"/>
        <v>PR.PT-31</v>
      </c>
      <c r="H298" s="296" t="str">
        <f t="shared" ca="1" si="51"/>
        <v>PR.PT-310</v>
      </c>
    </row>
    <row r="299" spans="1:8" ht="14" x14ac:dyDescent="0.3">
      <c r="A299" s="293">
        <v>356</v>
      </c>
      <c r="B299" s="293" t="s">
        <v>999</v>
      </c>
      <c r="C299" s="293" t="s">
        <v>1105</v>
      </c>
      <c r="D299" s="295" t="s">
        <v>170</v>
      </c>
      <c r="E299" s="295">
        <v>1</v>
      </c>
      <c r="F299" s="250">
        <f ca="1">VLOOKUP($D299,Data!$C:$I,7,FALSE)</f>
        <v>0</v>
      </c>
      <c r="G299" s="296" t="str">
        <f t="shared" si="50"/>
        <v>PR.PT-31</v>
      </c>
      <c r="H299" s="296" t="str">
        <f t="shared" ca="1" si="51"/>
        <v>PR.PT-310</v>
      </c>
    </row>
    <row r="300" spans="1:8" ht="14" x14ac:dyDescent="0.3">
      <c r="A300" s="293">
        <v>357</v>
      </c>
      <c r="B300" s="293" t="s">
        <v>999</v>
      </c>
      <c r="C300" s="293" t="s">
        <v>1106</v>
      </c>
      <c r="D300" s="295" t="s">
        <v>171</v>
      </c>
      <c r="E300" s="295">
        <v>1</v>
      </c>
      <c r="F300" s="250">
        <f ca="1">VLOOKUP($D300,Data!$C:$I,7,FALSE)</f>
        <v>0</v>
      </c>
      <c r="G300" s="296" t="str">
        <f t="shared" si="50"/>
        <v>PR.PT-31</v>
      </c>
      <c r="H300" s="296" t="str">
        <f t="shared" ca="1" si="51"/>
        <v>PR.PT-310</v>
      </c>
    </row>
    <row r="301" spans="1:8" ht="14" x14ac:dyDescent="0.3">
      <c r="A301" s="293">
        <v>358</v>
      </c>
      <c r="B301" s="293" t="s">
        <v>999</v>
      </c>
      <c r="C301" s="293" t="s">
        <v>1107</v>
      </c>
      <c r="D301" s="295" t="s">
        <v>172</v>
      </c>
      <c r="E301" s="295">
        <v>2</v>
      </c>
      <c r="F301" s="250">
        <f ca="1">VLOOKUP($D301,Data!$C:$I,7,FALSE)</f>
        <v>0</v>
      </c>
      <c r="G301" s="296" t="str">
        <f t="shared" si="50"/>
        <v>PR.PT-32</v>
      </c>
      <c r="H301" s="296" t="str">
        <f t="shared" ca="1" si="51"/>
        <v>PR.PT-320</v>
      </c>
    </row>
    <row r="302" spans="1:8" ht="14" x14ac:dyDescent="0.3">
      <c r="A302" s="293">
        <v>359</v>
      </c>
      <c r="B302" s="293" t="s">
        <v>999</v>
      </c>
      <c r="C302" s="293" t="s">
        <v>1108</v>
      </c>
      <c r="D302" s="295" t="s">
        <v>173</v>
      </c>
      <c r="E302" s="295">
        <v>2</v>
      </c>
      <c r="F302" s="250">
        <f ca="1">VLOOKUP($D302,Data!$C:$I,7,FALSE)</f>
        <v>0</v>
      </c>
      <c r="G302" s="296" t="str">
        <f t="shared" si="50"/>
        <v>PR.PT-32</v>
      </c>
      <c r="H302" s="296" t="str">
        <f t="shared" ca="1" si="51"/>
        <v>PR.PT-320</v>
      </c>
    </row>
    <row r="303" spans="1:8" ht="14" x14ac:dyDescent="0.3">
      <c r="A303" s="293">
        <v>360</v>
      </c>
      <c r="B303" s="293" t="s">
        <v>999</v>
      </c>
      <c r="C303" s="293" t="s">
        <v>1109</v>
      </c>
      <c r="D303" s="295" t="s">
        <v>174</v>
      </c>
      <c r="E303" s="295">
        <v>2</v>
      </c>
      <c r="F303" s="250">
        <f ca="1">VLOOKUP($D303,Data!$C:$I,7,FALSE)</f>
        <v>0</v>
      </c>
      <c r="G303" s="296" t="str">
        <f t="shared" si="50"/>
        <v>PR.PT-32</v>
      </c>
      <c r="H303" s="296" t="str">
        <f t="shared" ca="1" si="51"/>
        <v>PR.PT-320</v>
      </c>
    </row>
    <row r="304" spans="1:8" ht="14" x14ac:dyDescent="0.3">
      <c r="A304" s="293">
        <v>361</v>
      </c>
      <c r="B304" s="293" t="s">
        <v>999</v>
      </c>
      <c r="C304" s="293" t="s">
        <v>1110</v>
      </c>
      <c r="D304" s="295" t="s">
        <v>175</v>
      </c>
      <c r="E304" s="295">
        <v>3</v>
      </c>
      <c r="F304" s="250">
        <f ca="1">VLOOKUP($D304,Data!$C:$I,7,FALSE)</f>
        <v>0</v>
      </c>
      <c r="G304" s="296" t="str">
        <f t="shared" si="50"/>
        <v>PR.PT-33</v>
      </c>
      <c r="H304" s="296" t="str">
        <f t="shared" ca="1" si="51"/>
        <v>PR.PT-330</v>
      </c>
    </row>
    <row r="305" spans="1:8" ht="14" x14ac:dyDescent="0.3">
      <c r="A305" s="293">
        <v>363</v>
      </c>
      <c r="B305" s="293" t="s">
        <v>999</v>
      </c>
      <c r="C305" s="293" t="s">
        <v>1188</v>
      </c>
      <c r="D305" s="295" t="s">
        <v>177</v>
      </c>
      <c r="E305" s="295">
        <v>3</v>
      </c>
      <c r="F305" s="250">
        <f ca="1">VLOOKUP($D305,Data!$C:$I,7,FALSE)</f>
        <v>0</v>
      </c>
      <c r="G305" s="296" t="str">
        <f t="shared" si="50"/>
        <v>PR.PT-33</v>
      </c>
      <c r="H305" s="296" t="str">
        <f t="shared" ca="1" si="51"/>
        <v>PR.PT-330</v>
      </c>
    </row>
    <row r="306" spans="1:8" ht="14" x14ac:dyDescent="0.3">
      <c r="A306" s="293">
        <v>364</v>
      </c>
      <c r="B306" s="293" t="s">
        <v>1189</v>
      </c>
      <c r="C306" s="293" t="s">
        <v>1114</v>
      </c>
      <c r="D306" s="295" t="s">
        <v>351</v>
      </c>
      <c r="E306" s="295">
        <v>2</v>
      </c>
      <c r="F306" s="250">
        <f ca="1">VLOOKUP($D306,Data!$C:$I,7,FALSE)</f>
        <v>0</v>
      </c>
      <c r="G306" s="296" t="str">
        <f t="shared" si="50"/>
        <v>PR.PT-42</v>
      </c>
      <c r="H306" s="296" t="str">
        <f t="shared" ca="1" si="51"/>
        <v>PR.PT-420</v>
      </c>
    </row>
    <row r="307" spans="1:8" ht="14" x14ac:dyDescent="0.3">
      <c r="A307" s="293">
        <v>365</v>
      </c>
      <c r="B307" s="293" t="s">
        <v>1189</v>
      </c>
      <c r="C307" s="293" t="s">
        <v>1115</v>
      </c>
      <c r="D307" s="295" t="s">
        <v>354</v>
      </c>
      <c r="E307" s="295">
        <v>2</v>
      </c>
      <c r="F307" s="250">
        <f ca="1">VLOOKUP($D307,Data!$C:$I,7,FALSE)</f>
        <v>0</v>
      </c>
      <c r="G307" s="296" t="str">
        <f t="shared" si="50"/>
        <v>PR.PT-42</v>
      </c>
      <c r="H307" s="296" t="str">
        <f t="shared" ca="1" si="51"/>
        <v>PR.PT-420</v>
      </c>
    </row>
    <row r="308" spans="1:8" ht="14" x14ac:dyDescent="0.3">
      <c r="A308" s="293">
        <v>366</v>
      </c>
      <c r="B308" s="293" t="s">
        <v>1189</v>
      </c>
      <c r="C308" s="293" t="s">
        <v>1116</v>
      </c>
      <c r="D308" s="295" t="s">
        <v>358</v>
      </c>
      <c r="E308" s="295">
        <v>1</v>
      </c>
      <c r="F308" s="250">
        <f ca="1">VLOOKUP($D308,Data!$C:$I,7,FALSE)</f>
        <v>0</v>
      </c>
      <c r="G308" s="296" t="str">
        <f t="shared" si="50"/>
        <v>PR.PT-41</v>
      </c>
      <c r="H308" s="296" t="str">
        <f t="shared" ca="1" si="51"/>
        <v>PR.PT-410</v>
      </c>
    </row>
    <row r="309" spans="1:8" ht="14" x14ac:dyDescent="0.3">
      <c r="A309" s="293">
        <v>368</v>
      </c>
      <c r="B309" s="293" t="s">
        <v>1190</v>
      </c>
      <c r="C309" s="293" t="s">
        <v>1115</v>
      </c>
      <c r="D309" s="295" t="s">
        <v>354</v>
      </c>
      <c r="E309" s="295">
        <v>2</v>
      </c>
      <c r="F309" s="250">
        <f ca="1">VLOOKUP($D309,Data!$C:$I,7,FALSE)</f>
        <v>0</v>
      </c>
      <c r="G309" s="296" t="str">
        <f t="shared" si="50"/>
        <v>PR.PT-52</v>
      </c>
      <c r="H309" s="296" t="str">
        <f t="shared" ca="1" si="51"/>
        <v>PR.PT-520</v>
      </c>
    </row>
    <row r="310" spans="1:8" ht="14" x14ac:dyDescent="0.3">
      <c r="A310" s="293">
        <v>369</v>
      </c>
      <c r="B310" s="293" t="s">
        <v>1190</v>
      </c>
      <c r="C310" s="293" t="s">
        <v>1116</v>
      </c>
      <c r="D310" s="295" t="s">
        <v>358</v>
      </c>
      <c r="E310" s="295">
        <v>1</v>
      </c>
      <c r="F310" s="250">
        <f ca="1">VLOOKUP($D310,Data!$C:$I,7,FALSE)</f>
        <v>0</v>
      </c>
      <c r="G310" s="296" t="str">
        <f t="shared" si="50"/>
        <v>PR.PT-51</v>
      </c>
      <c r="H310" s="296" t="str">
        <f t="shared" ca="1" si="51"/>
        <v>PR.PT-510</v>
      </c>
    </row>
    <row r="311" spans="1:8" ht="14" x14ac:dyDescent="0.3">
      <c r="A311" s="293">
        <v>372</v>
      </c>
      <c r="B311" s="293" t="s">
        <v>1191</v>
      </c>
      <c r="C311" s="294" t="s">
        <v>1182</v>
      </c>
      <c r="D311" s="294" t="s">
        <v>229</v>
      </c>
      <c r="E311" s="294">
        <v>1</v>
      </c>
      <c r="F311" s="250">
        <f ca="1">VLOOKUP($D311,Data!$C:$I,7,FALSE)</f>
        <v>0</v>
      </c>
      <c r="G311" s="296" t="str">
        <f t="shared" si="50"/>
        <v>DE.AE-11</v>
      </c>
      <c r="H311" s="296" t="str">
        <f t="shared" ca="1" si="51"/>
        <v>DE.AE-110</v>
      </c>
    </row>
    <row r="312" spans="1:8" ht="14" x14ac:dyDescent="0.3">
      <c r="A312" s="293">
        <v>373</v>
      </c>
      <c r="B312" s="293" t="s">
        <v>1192</v>
      </c>
      <c r="C312" s="294" t="s">
        <v>1193</v>
      </c>
      <c r="D312" s="294" t="s">
        <v>259</v>
      </c>
      <c r="E312" s="294">
        <v>3</v>
      </c>
      <c r="F312" s="250">
        <f ca="1">VLOOKUP($D312,Data!$C:$I,7,FALSE)</f>
        <v>0</v>
      </c>
      <c r="G312" s="296" t="str">
        <f t="shared" si="50"/>
        <v>DE.AE-23</v>
      </c>
      <c r="H312" s="296" t="str">
        <f t="shared" ca="1" si="51"/>
        <v>DE.AE-230</v>
      </c>
    </row>
    <row r="313" spans="1:8" ht="14" x14ac:dyDescent="0.3">
      <c r="A313" s="293">
        <v>374</v>
      </c>
      <c r="B313" s="293" t="s">
        <v>1192</v>
      </c>
      <c r="C313" s="294" t="s">
        <v>1194</v>
      </c>
      <c r="D313" s="294" t="s">
        <v>270</v>
      </c>
      <c r="E313" s="294">
        <v>3</v>
      </c>
      <c r="F313" s="250">
        <f ca="1">VLOOKUP($D313,Data!$C:$I,7,FALSE)</f>
        <v>0</v>
      </c>
      <c r="G313" s="296" t="str">
        <f t="shared" si="50"/>
        <v>DE.AE-23</v>
      </c>
      <c r="H313" s="296" t="str">
        <f t="shared" ca="1" si="51"/>
        <v>DE.AE-230</v>
      </c>
    </row>
    <row r="314" spans="1:8" ht="14" x14ac:dyDescent="0.3">
      <c r="A314" s="293">
        <v>375</v>
      </c>
      <c r="B314" s="293" t="s">
        <v>1192</v>
      </c>
      <c r="C314" s="294" t="s">
        <v>1195</v>
      </c>
      <c r="D314" s="294" t="s">
        <v>277</v>
      </c>
      <c r="E314" s="294">
        <v>3</v>
      </c>
      <c r="F314" s="250">
        <f ca="1">VLOOKUP($D314,Data!$C:$I,7,FALSE)</f>
        <v>0</v>
      </c>
      <c r="G314" s="296" t="str">
        <f t="shared" si="50"/>
        <v>DE.AE-23</v>
      </c>
      <c r="H314" s="296" t="str">
        <f t="shared" ca="1" si="51"/>
        <v>DE.AE-230</v>
      </c>
    </row>
    <row r="315" spans="1:8" ht="14" x14ac:dyDescent="0.3">
      <c r="A315" s="293">
        <v>376</v>
      </c>
      <c r="B315" s="293" t="s">
        <v>1196</v>
      </c>
      <c r="C315" s="294" t="s">
        <v>1197</v>
      </c>
      <c r="D315" s="294" t="s">
        <v>258</v>
      </c>
      <c r="E315" s="294">
        <v>2</v>
      </c>
      <c r="F315" s="250">
        <f ca="1">VLOOKUP($D315,Data!$C:$I,7,FALSE)</f>
        <v>0</v>
      </c>
      <c r="G315" s="296" t="str">
        <f t="shared" si="50"/>
        <v>DE.AE-32</v>
      </c>
      <c r="H315" s="296" t="str">
        <f t="shared" ca="1" si="51"/>
        <v>DE.AE-320</v>
      </c>
    </row>
    <row r="316" spans="1:8" ht="14" x14ac:dyDescent="0.3">
      <c r="A316" s="293">
        <v>377</v>
      </c>
      <c r="B316" s="293" t="s">
        <v>1196</v>
      </c>
      <c r="C316" s="294" t="s">
        <v>1193</v>
      </c>
      <c r="D316" s="294" t="s">
        <v>259</v>
      </c>
      <c r="E316" s="294">
        <v>3</v>
      </c>
      <c r="F316" s="250">
        <f ca="1">VLOOKUP($D316,Data!$C:$I,7,FALSE)</f>
        <v>0</v>
      </c>
      <c r="G316" s="296" t="str">
        <f t="shared" si="50"/>
        <v>DE.AE-33</v>
      </c>
      <c r="H316" s="296" t="str">
        <f t="shared" ca="1" si="51"/>
        <v>DE.AE-330</v>
      </c>
    </row>
    <row r="317" spans="1:8" ht="14" x14ac:dyDescent="0.3">
      <c r="A317" s="293">
        <v>378</v>
      </c>
      <c r="B317" s="293" t="s">
        <v>1196</v>
      </c>
      <c r="C317" s="294" t="s">
        <v>1194</v>
      </c>
      <c r="D317" s="294" t="s">
        <v>270</v>
      </c>
      <c r="E317" s="294">
        <v>3</v>
      </c>
      <c r="F317" s="250">
        <f ca="1">VLOOKUP($D317,Data!$C:$I,7,FALSE)</f>
        <v>0</v>
      </c>
      <c r="G317" s="296" t="str">
        <f t="shared" si="50"/>
        <v>DE.AE-33</v>
      </c>
      <c r="H317" s="296" t="str">
        <f t="shared" ca="1" si="51"/>
        <v>DE.AE-330</v>
      </c>
    </row>
    <row r="318" spans="1:8" ht="14" x14ac:dyDescent="0.3">
      <c r="A318" s="293">
        <v>379</v>
      </c>
      <c r="B318" s="293" t="s">
        <v>1198</v>
      </c>
      <c r="C318" s="294" t="s">
        <v>1199</v>
      </c>
      <c r="D318" s="294" t="s">
        <v>263</v>
      </c>
      <c r="E318" s="294">
        <v>1</v>
      </c>
      <c r="F318" s="250">
        <f ca="1">VLOOKUP($D318,Data!$C:$I,7,FALSE)</f>
        <v>0</v>
      </c>
      <c r="G318" s="296" t="str">
        <f t="shared" si="50"/>
        <v>DE.AE-41</v>
      </c>
      <c r="H318" s="296" t="str">
        <f t="shared" ca="1" si="51"/>
        <v>DE.AE-410</v>
      </c>
    </row>
    <row r="319" spans="1:8" ht="14" x14ac:dyDescent="0.3">
      <c r="A319" s="293">
        <v>380</v>
      </c>
      <c r="B319" s="293" t="s">
        <v>1198</v>
      </c>
      <c r="C319" s="294" t="s">
        <v>1200</v>
      </c>
      <c r="D319" s="294" t="s">
        <v>264</v>
      </c>
      <c r="E319" s="294">
        <v>2</v>
      </c>
      <c r="F319" s="250">
        <f ca="1">VLOOKUP($D319,Data!$C:$I,7,FALSE)</f>
        <v>0</v>
      </c>
      <c r="G319" s="296" t="str">
        <f t="shared" si="50"/>
        <v>DE.AE-42</v>
      </c>
      <c r="H319" s="296" t="str">
        <f t="shared" ca="1" si="51"/>
        <v>DE.AE-420</v>
      </c>
    </row>
    <row r="320" spans="1:8" ht="14" x14ac:dyDescent="0.3">
      <c r="A320" s="293">
        <v>381</v>
      </c>
      <c r="B320" s="293" t="s">
        <v>1198</v>
      </c>
      <c r="C320" s="294" t="s">
        <v>1061</v>
      </c>
      <c r="D320" s="294" t="s">
        <v>189</v>
      </c>
      <c r="E320" s="294">
        <v>2</v>
      </c>
      <c r="F320" s="250">
        <f ca="1">VLOOKUP($D320,Data!$C:$I,7,FALSE)</f>
        <v>0</v>
      </c>
      <c r="G320" s="296" t="str">
        <f t="shared" si="50"/>
        <v>DE.AE-42</v>
      </c>
      <c r="H320" s="296" t="str">
        <f t="shared" ca="1" si="51"/>
        <v>DE.AE-420</v>
      </c>
    </row>
    <row r="321" spans="1:8" ht="14" x14ac:dyDescent="0.3">
      <c r="A321" s="293">
        <v>382</v>
      </c>
      <c r="B321" s="293" t="s">
        <v>1198</v>
      </c>
      <c r="C321" s="294" t="s">
        <v>1201</v>
      </c>
      <c r="D321" s="294" t="s">
        <v>269</v>
      </c>
      <c r="E321" s="294">
        <v>3</v>
      </c>
      <c r="F321" s="250">
        <f ca="1">VLOOKUP($D321,Data!$C:$I,7,FALSE)</f>
        <v>0</v>
      </c>
      <c r="G321" s="296" t="str">
        <f t="shared" si="50"/>
        <v>DE.AE-43</v>
      </c>
      <c r="H321" s="296" t="str">
        <f t="shared" ca="1" si="51"/>
        <v>DE.AE-430</v>
      </c>
    </row>
    <row r="322" spans="1:8" ht="14" x14ac:dyDescent="0.3">
      <c r="A322" s="293">
        <v>383</v>
      </c>
      <c r="B322" s="293" t="s">
        <v>1198</v>
      </c>
      <c r="C322" s="294" t="s">
        <v>1054</v>
      </c>
      <c r="D322" s="294" t="s">
        <v>48</v>
      </c>
      <c r="E322" s="294">
        <v>2</v>
      </c>
      <c r="F322" s="250">
        <f ca="1">VLOOKUP($D322,Data!$C:$I,7,FALSE)</f>
        <v>0</v>
      </c>
      <c r="G322" s="296" t="str">
        <f t="shared" ref="G322:G385" si="52">CONCATENATE($B322,$E322)</f>
        <v>DE.AE-42</v>
      </c>
      <c r="H322" s="296" t="str">
        <f t="shared" ref="H322:H385" ca="1" si="53">_xlfn.IFNA(CONCATENATE($B322,$E322,$F322),CONCATENATE($B322,$E322,0))</f>
        <v>DE.AE-420</v>
      </c>
    </row>
    <row r="323" spans="1:8" ht="14" x14ac:dyDescent="0.3">
      <c r="A323" s="293">
        <v>383</v>
      </c>
      <c r="B323" s="293" t="s">
        <v>1198</v>
      </c>
      <c r="C323" s="294" t="s">
        <v>1054</v>
      </c>
      <c r="D323" s="294" t="s">
        <v>61</v>
      </c>
      <c r="E323" s="295">
        <v>3</v>
      </c>
      <c r="F323" s="250">
        <f ca="1">VLOOKUP($D323,Data!$C:$I,7,FALSE)</f>
        <v>0</v>
      </c>
      <c r="G323" s="296" t="str">
        <f t="shared" si="52"/>
        <v>DE.AE-43</v>
      </c>
      <c r="H323" s="296" t="str">
        <f t="shared" ca="1" si="53"/>
        <v>DE.AE-430</v>
      </c>
    </row>
    <row r="324" spans="1:8" ht="14" x14ac:dyDescent="0.3">
      <c r="A324" s="293">
        <v>384</v>
      </c>
      <c r="B324" s="293" t="s">
        <v>1202</v>
      </c>
      <c r="C324" s="294" t="s">
        <v>1203</v>
      </c>
      <c r="D324" s="294" t="s">
        <v>262</v>
      </c>
      <c r="E324" s="294">
        <v>1</v>
      </c>
      <c r="F324" s="250">
        <f ca="1">VLOOKUP($D324,Data!$C:$I,7,FALSE)</f>
        <v>0</v>
      </c>
      <c r="G324" s="296" t="str">
        <f t="shared" si="52"/>
        <v>DE.AE-51</v>
      </c>
      <c r="H324" s="296" t="str">
        <f t="shared" ca="1" si="53"/>
        <v>DE.AE-510</v>
      </c>
    </row>
    <row r="325" spans="1:8" ht="14" x14ac:dyDescent="0.3">
      <c r="A325" s="293">
        <v>385</v>
      </c>
      <c r="B325" s="293" t="s">
        <v>1202</v>
      </c>
      <c r="C325" s="294" t="s">
        <v>1200</v>
      </c>
      <c r="D325" s="294" t="s">
        <v>264</v>
      </c>
      <c r="E325" s="294">
        <v>2</v>
      </c>
      <c r="F325" s="250">
        <f ca="1">VLOOKUP($D325,Data!$C:$I,7,FALSE)</f>
        <v>0</v>
      </c>
      <c r="G325" s="296" t="str">
        <f t="shared" si="52"/>
        <v>DE.AE-52</v>
      </c>
      <c r="H325" s="296" t="str">
        <f t="shared" ca="1" si="53"/>
        <v>DE.AE-520</v>
      </c>
    </row>
    <row r="326" spans="1:8" ht="14" x14ac:dyDescent="0.3">
      <c r="A326" s="293">
        <v>386</v>
      </c>
      <c r="B326" s="293" t="s">
        <v>1202</v>
      </c>
      <c r="C326" s="294" t="s">
        <v>1061</v>
      </c>
      <c r="D326" s="294" t="s">
        <v>189</v>
      </c>
      <c r="E326" s="294">
        <v>2</v>
      </c>
      <c r="F326" s="250">
        <f ca="1">VLOOKUP($D326,Data!$C:$I,7,FALSE)</f>
        <v>0</v>
      </c>
      <c r="G326" s="296" t="str">
        <f t="shared" si="52"/>
        <v>DE.AE-52</v>
      </c>
      <c r="H326" s="296" t="str">
        <f t="shared" ca="1" si="53"/>
        <v>DE.AE-520</v>
      </c>
    </row>
    <row r="327" spans="1:8" ht="14" x14ac:dyDescent="0.3">
      <c r="A327" s="293">
        <v>387</v>
      </c>
      <c r="B327" s="293" t="s">
        <v>1202</v>
      </c>
      <c r="C327" s="294" t="s">
        <v>1204</v>
      </c>
      <c r="D327" s="294" t="s">
        <v>233</v>
      </c>
      <c r="E327" s="294">
        <v>2</v>
      </c>
      <c r="F327" s="250">
        <f ca="1">VLOOKUP($D327,Data!$C:$I,7,FALSE)</f>
        <v>0</v>
      </c>
      <c r="G327" s="296" t="str">
        <f t="shared" si="52"/>
        <v>DE.AE-52</v>
      </c>
      <c r="H327" s="296" t="str">
        <f t="shared" ca="1" si="53"/>
        <v>DE.AE-520</v>
      </c>
    </row>
    <row r="328" spans="1:8" ht="14" x14ac:dyDescent="0.3">
      <c r="A328" s="293">
        <v>388</v>
      </c>
      <c r="B328" s="293" t="s">
        <v>1202</v>
      </c>
      <c r="C328" s="294" t="s">
        <v>1201</v>
      </c>
      <c r="D328" s="294" t="s">
        <v>269</v>
      </c>
      <c r="E328" s="294">
        <v>3</v>
      </c>
      <c r="F328" s="250">
        <f ca="1">VLOOKUP($D328,Data!$C:$I,7,FALSE)</f>
        <v>0</v>
      </c>
      <c r="G328" s="296" t="str">
        <f t="shared" si="52"/>
        <v>DE.AE-53</v>
      </c>
      <c r="H328" s="296" t="str">
        <f t="shared" ca="1" si="53"/>
        <v>DE.AE-530</v>
      </c>
    </row>
    <row r="329" spans="1:8" ht="14" x14ac:dyDescent="0.3">
      <c r="A329" s="293">
        <v>389</v>
      </c>
      <c r="B329" s="293" t="s">
        <v>1202</v>
      </c>
      <c r="C329" s="294" t="s">
        <v>1054</v>
      </c>
      <c r="D329" s="294" t="s">
        <v>48</v>
      </c>
      <c r="E329" s="294">
        <v>2</v>
      </c>
      <c r="F329" s="250">
        <f ca="1">VLOOKUP($D329,Data!$C:$I,7,FALSE)</f>
        <v>0</v>
      </c>
      <c r="G329" s="296" t="str">
        <f t="shared" si="52"/>
        <v>DE.AE-52</v>
      </c>
      <c r="H329" s="296" t="str">
        <f t="shared" ca="1" si="53"/>
        <v>DE.AE-520</v>
      </c>
    </row>
    <row r="330" spans="1:8" ht="14" x14ac:dyDescent="0.3">
      <c r="A330" s="293">
        <v>389</v>
      </c>
      <c r="B330" s="293" t="s">
        <v>1202</v>
      </c>
      <c r="C330" s="294" t="s">
        <v>1054</v>
      </c>
      <c r="D330" s="294" t="s">
        <v>61</v>
      </c>
      <c r="E330" s="295">
        <v>3</v>
      </c>
      <c r="F330" s="250">
        <f ca="1">VLOOKUP($D330,Data!$C:$I,7,FALSE)</f>
        <v>0</v>
      </c>
      <c r="G330" s="296" t="str">
        <f t="shared" si="52"/>
        <v>DE.AE-53</v>
      </c>
      <c r="H330" s="296" t="str">
        <f t="shared" ca="1" si="53"/>
        <v>DE.AE-530</v>
      </c>
    </row>
    <row r="331" spans="1:8" ht="14" x14ac:dyDescent="0.3">
      <c r="A331" s="293">
        <v>390</v>
      </c>
      <c r="B331" s="293" t="s">
        <v>1205</v>
      </c>
      <c r="C331" s="294" t="s">
        <v>1182</v>
      </c>
      <c r="D331" s="294" t="s">
        <v>229</v>
      </c>
      <c r="E331" s="294">
        <v>1</v>
      </c>
      <c r="F331" s="250">
        <f ca="1">VLOOKUP($D331,Data!$C:$I,7,FALSE)</f>
        <v>0</v>
      </c>
      <c r="G331" s="296" t="str">
        <f t="shared" si="52"/>
        <v>DE.CM-11</v>
      </c>
      <c r="H331" s="296" t="str">
        <f t="shared" ca="1" si="53"/>
        <v>DE.CM-110</v>
      </c>
    </row>
    <row r="332" spans="1:8" ht="14" x14ac:dyDescent="0.3">
      <c r="A332" s="293">
        <v>391</v>
      </c>
      <c r="B332" s="293" t="s">
        <v>1205</v>
      </c>
      <c r="C332" s="294" t="s">
        <v>1206</v>
      </c>
      <c r="D332" s="294" t="s">
        <v>230</v>
      </c>
      <c r="E332" s="294">
        <v>1</v>
      </c>
      <c r="F332" s="250">
        <f ca="1">VLOOKUP($D332,Data!$C:$I,7,FALSE)</f>
        <v>0</v>
      </c>
      <c r="G332" s="296" t="str">
        <f t="shared" si="52"/>
        <v>DE.CM-11</v>
      </c>
      <c r="H332" s="296" t="str">
        <f t="shared" ca="1" si="53"/>
        <v>DE.CM-110</v>
      </c>
    </row>
    <row r="333" spans="1:8" ht="14" x14ac:dyDescent="0.3">
      <c r="A333" s="293">
        <v>392</v>
      </c>
      <c r="B333" s="293" t="s">
        <v>1205</v>
      </c>
      <c r="C333" s="294" t="s">
        <v>1143</v>
      </c>
      <c r="D333" s="294" t="s">
        <v>232</v>
      </c>
      <c r="E333" s="294">
        <v>2</v>
      </c>
      <c r="F333" s="250">
        <f ca="1">VLOOKUP($D333,Data!$C:$I,7,FALSE)</f>
        <v>0</v>
      </c>
      <c r="G333" s="296" t="str">
        <f t="shared" si="52"/>
        <v>DE.CM-12</v>
      </c>
      <c r="H333" s="296" t="str">
        <f t="shared" ca="1" si="53"/>
        <v>DE.CM-120</v>
      </c>
    </row>
    <row r="334" spans="1:8" ht="14" x14ac:dyDescent="0.3">
      <c r="A334" s="293">
        <v>393</v>
      </c>
      <c r="B334" s="293" t="s">
        <v>1205</v>
      </c>
      <c r="C334" s="294" t="s">
        <v>1207</v>
      </c>
      <c r="D334" s="294" t="s">
        <v>234</v>
      </c>
      <c r="E334" s="294">
        <v>2</v>
      </c>
      <c r="F334" s="250">
        <f ca="1">VLOOKUP($D334,Data!$C:$I,7,FALSE)</f>
        <v>0</v>
      </c>
      <c r="G334" s="296" t="str">
        <f t="shared" si="52"/>
        <v>DE.CM-12</v>
      </c>
      <c r="H334" s="296" t="str">
        <f t="shared" ca="1" si="53"/>
        <v>DE.CM-120</v>
      </c>
    </row>
    <row r="335" spans="1:8" ht="14" x14ac:dyDescent="0.3">
      <c r="A335" s="293">
        <v>394</v>
      </c>
      <c r="B335" s="293" t="s">
        <v>1205</v>
      </c>
      <c r="C335" s="294" t="s">
        <v>1061</v>
      </c>
      <c r="D335" s="294" t="s">
        <v>189</v>
      </c>
      <c r="E335" s="294">
        <v>2</v>
      </c>
      <c r="F335" s="250">
        <f ca="1">VLOOKUP($D335,Data!$C:$I,7,FALSE)</f>
        <v>0</v>
      </c>
      <c r="G335" s="296" t="str">
        <f t="shared" si="52"/>
        <v>DE.CM-12</v>
      </c>
      <c r="H335" s="296" t="str">
        <f t="shared" ca="1" si="53"/>
        <v>DE.CM-120</v>
      </c>
    </row>
    <row r="336" spans="1:8" ht="14" x14ac:dyDescent="0.3">
      <c r="A336" s="293">
        <v>395</v>
      </c>
      <c r="B336" s="293" t="s">
        <v>1205</v>
      </c>
      <c r="C336" s="294" t="s">
        <v>1208</v>
      </c>
      <c r="D336" s="294" t="s">
        <v>235</v>
      </c>
      <c r="E336" s="294">
        <v>3</v>
      </c>
      <c r="F336" s="250">
        <f ca="1">VLOOKUP($D336,Data!$C:$I,7,FALSE)</f>
        <v>0</v>
      </c>
      <c r="G336" s="296" t="str">
        <f t="shared" si="52"/>
        <v>DE.CM-13</v>
      </c>
      <c r="H336" s="296" t="str">
        <f t="shared" ca="1" si="53"/>
        <v>DE.CM-130</v>
      </c>
    </row>
    <row r="337" spans="1:8" ht="14" x14ac:dyDescent="0.3">
      <c r="A337" s="293">
        <v>396</v>
      </c>
      <c r="B337" s="293" t="s">
        <v>1205</v>
      </c>
      <c r="C337" s="294" t="s">
        <v>1144</v>
      </c>
      <c r="D337" s="294" t="s">
        <v>236</v>
      </c>
      <c r="E337" s="294">
        <v>3</v>
      </c>
      <c r="F337" s="250">
        <f ca="1">VLOOKUP($D337,Data!$C:$I,7,FALSE)</f>
        <v>0</v>
      </c>
      <c r="G337" s="296" t="str">
        <f t="shared" si="52"/>
        <v>DE.CM-13</v>
      </c>
      <c r="H337" s="296" t="str">
        <f t="shared" ca="1" si="53"/>
        <v>DE.CM-130</v>
      </c>
    </row>
    <row r="338" spans="1:8" ht="14" x14ac:dyDescent="0.3">
      <c r="A338" s="293">
        <v>397</v>
      </c>
      <c r="B338" s="293" t="s">
        <v>1209</v>
      </c>
      <c r="C338" s="294" t="s">
        <v>1182</v>
      </c>
      <c r="D338" s="294" t="s">
        <v>229</v>
      </c>
      <c r="E338" s="294">
        <v>1</v>
      </c>
      <c r="F338" s="250">
        <f ca="1">VLOOKUP($D338,Data!$C:$I,7,FALSE)</f>
        <v>0</v>
      </c>
      <c r="G338" s="296" t="str">
        <f t="shared" si="52"/>
        <v>DE.CM-21</v>
      </c>
      <c r="H338" s="296" t="str">
        <f t="shared" ca="1" si="53"/>
        <v>DE.CM-210</v>
      </c>
    </row>
    <row r="339" spans="1:8" ht="14" x14ac:dyDescent="0.3">
      <c r="A339" s="293">
        <v>398</v>
      </c>
      <c r="B339" s="293" t="s">
        <v>1209</v>
      </c>
      <c r="C339" s="294" t="s">
        <v>1206</v>
      </c>
      <c r="D339" s="294" t="s">
        <v>230</v>
      </c>
      <c r="E339" s="294">
        <v>1</v>
      </c>
      <c r="F339" s="250">
        <f ca="1">VLOOKUP($D339,Data!$C:$I,7,FALSE)</f>
        <v>0</v>
      </c>
      <c r="G339" s="296" t="str">
        <f t="shared" si="52"/>
        <v>DE.CM-21</v>
      </c>
      <c r="H339" s="296" t="str">
        <f t="shared" ca="1" si="53"/>
        <v>DE.CM-210</v>
      </c>
    </row>
    <row r="340" spans="1:8" ht="14" x14ac:dyDescent="0.3">
      <c r="A340" s="293">
        <v>399</v>
      </c>
      <c r="B340" s="293" t="s">
        <v>1209</v>
      </c>
      <c r="C340" s="294" t="s">
        <v>1143</v>
      </c>
      <c r="D340" s="294" t="s">
        <v>232</v>
      </c>
      <c r="E340" s="294">
        <v>2</v>
      </c>
      <c r="F340" s="250">
        <f ca="1">VLOOKUP($D340,Data!$C:$I,7,FALSE)</f>
        <v>0</v>
      </c>
      <c r="G340" s="296" t="str">
        <f t="shared" si="52"/>
        <v>DE.CM-22</v>
      </c>
      <c r="H340" s="296" t="str">
        <f t="shared" ca="1" si="53"/>
        <v>DE.CM-220</v>
      </c>
    </row>
    <row r="341" spans="1:8" ht="14" x14ac:dyDescent="0.3">
      <c r="A341" s="293">
        <v>400</v>
      </c>
      <c r="B341" s="293" t="s">
        <v>1209</v>
      </c>
      <c r="C341" s="294" t="s">
        <v>1144</v>
      </c>
      <c r="D341" s="294" t="s">
        <v>236</v>
      </c>
      <c r="E341" s="294">
        <v>3</v>
      </c>
      <c r="F341" s="250">
        <f ca="1">VLOOKUP($D341,Data!$C:$I,7,FALSE)</f>
        <v>0</v>
      </c>
      <c r="G341" s="296" t="str">
        <f t="shared" si="52"/>
        <v>DE.CM-23</v>
      </c>
      <c r="H341" s="296" t="str">
        <f t="shared" ca="1" si="53"/>
        <v>DE.CM-230</v>
      </c>
    </row>
    <row r="342" spans="1:8" ht="14" x14ac:dyDescent="0.3">
      <c r="A342" s="293">
        <v>401</v>
      </c>
      <c r="B342" s="293" t="s">
        <v>1210</v>
      </c>
      <c r="C342" s="294" t="s">
        <v>1182</v>
      </c>
      <c r="D342" s="294" t="s">
        <v>229</v>
      </c>
      <c r="E342" s="294">
        <v>1</v>
      </c>
      <c r="F342" s="250">
        <f ca="1">VLOOKUP($D342,Data!$C:$I,7,FALSE)</f>
        <v>0</v>
      </c>
      <c r="G342" s="296" t="str">
        <f t="shared" si="52"/>
        <v>DE.CM-31</v>
      </c>
      <c r="H342" s="296" t="str">
        <f t="shared" ca="1" si="53"/>
        <v>DE.CM-310</v>
      </c>
    </row>
    <row r="343" spans="1:8" ht="14" x14ac:dyDescent="0.3">
      <c r="A343" s="293">
        <v>402</v>
      </c>
      <c r="B343" s="293" t="s">
        <v>1210</v>
      </c>
      <c r="C343" s="294" t="s">
        <v>1206</v>
      </c>
      <c r="D343" s="294" t="s">
        <v>230</v>
      </c>
      <c r="E343" s="294">
        <v>1</v>
      </c>
      <c r="F343" s="250">
        <f ca="1">VLOOKUP($D343,Data!$C:$I,7,FALSE)</f>
        <v>0</v>
      </c>
      <c r="G343" s="296" t="str">
        <f t="shared" si="52"/>
        <v>DE.CM-31</v>
      </c>
      <c r="H343" s="296" t="str">
        <f t="shared" ca="1" si="53"/>
        <v>DE.CM-310</v>
      </c>
    </row>
    <row r="344" spans="1:8" ht="14" x14ac:dyDescent="0.3">
      <c r="A344" s="293">
        <v>403</v>
      </c>
      <c r="B344" s="293" t="s">
        <v>1210</v>
      </c>
      <c r="C344" s="294" t="s">
        <v>1211</v>
      </c>
      <c r="D344" s="294" t="s">
        <v>232</v>
      </c>
      <c r="E344" s="294">
        <v>2</v>
      </c>
      <c r="F344" s="250">
        <f ca="1">VLOOKUP($D344,Data!$C:$I,7,FALSE)</f>
        <v>0</v>
      </c>
      <c r="G344" s="296" t="str">
        <f t="shared" si="52"/>
        <v>DE.CM-32</v>
      </c>
      <c r="H344" s="296" t="str">
        <f t="shared" ca="1" si="53"/>
        <v>DE.CM-320</v>
      </c>
    </row>
    <row r="345" spans="1:8" ht="14" x14ac:dyDescent="0.3">
      <c r="A345" s="293">
        <v>404</v>
      </c>
      <c r="B345" s="293" t="s">
        <v>1210</v>
      </c>
      <c r="C345" s="294" t="s">
        <v>1144</v>
      </c>
      <c r="D345" s="294" t="s">
        <v>236</v>
      </c>
      <c r="E345" s="294">
        <v>3</v>
      </c>
      <c r="F345" s="250">
        <f ca="1">VLOOKUP($D345,Data!$C:$I,7,FALSE)</f>
        <v>0</v>
      </c>
      <c r="G345" s="296" t="str">
        <f t="shared" si="52"/>
        <v>DE.CM-33</v>
      </c>
      <c r="H345" s="296" t="str">
        <f t="shared" ca="1" si="53"/>
        <v>DE.CM-330</v>
      </c>
    </row>
    <row r="346" spans="1:8" ht="14" x14ac:dyDescent="0.3">
      <c r="A346" s="293">
        <v>405</v>
      </c>
      <c r="B346" s="293" t="s">
        <v>1212</v>
      </c>
      <c r="C346" s="294" t="s">
        <v>1182</v>
      </c>
      <c r="D346" s="294" t="s">
        <v>229</v>
      </c>
      <c r="E346" s="294">
        <v>1</v>
      </c>
      <c r="F346" s="250">
        <f ca="1">VLOOKUP($D346,Data!$C:$I,7,FALSE)</f>
        <v>0</v>
      </c>
      <c r="G346" s="296" t="str">
        <f t="shared" si="52"/>
        <v>DE.CM-41</v>
      </c>
      <c r="H346" s="296" t="str">
        <f t="shared" ca="1" si="53"/>
        <v>DE.CM-410</v>
      </c>
    </row>
    <row r="347" spans="1:8" ht="14" x14ac:dyDescent="0.3">
      <c r="A347" s="293">
        <v>406</v>
      </c>
      <c r="B347" s="293" t="s">
        <v>1212</v>
      </c>
      <c r="C347" s="294" t="s">
        <v>1206</v>
      </c>
      <c r="D347" s="294" t="s">
        <v>230</v>
      </c>
      <c r="E347" s="294">
        <v>1</v>
      </c>
      <c r="F347" s="250">
        <f ca="1">VLOOKUP($D347,Data!$C:$I,7,FALSE)</f>
        <v>0</v>
      </c>
      <c r="G347" s="296" t="str">
        <f t="shared" si="52"/>
        <v>DE.CM-41</v>
      </c>
      <c r="H347" s="296" t="str">
        <f t="shared" ca="1" si="53"/>
        <v>DE.CM-410</v>
      </c>
    </row>
    <row r="348" spans="1:8" ht="14" x14ac:dyDescent="0.3">
      <c r="A348" s="293">
        <v>407</v>
      </c>
      <c r="B348" s="293" t="s">
        <v>1212</v>
      </c>
      <c r="C348" s="294" t="s">
        <v>1143</v>
      </c>
      <c r="D348" s="294" t="s">
        <v>232</v>
      </c>
      <c r="E348" s="294">
        <v>2</v>
      </c>
      <c r="F348" s="250">
        <f ca="1">VLOOKUP($D348,Data!$C:$I,7,FALSE)</f>
        <v>0</v>
      </c>
      <c r="G348" s="296" t="str">
        <f t="shared" si="52"/>
        <v>DE.CM-42</v>
      </c>
      <c r="H348" s="296" t="str">
        <f t="shared" ca="1" si="53"/>
        <v>DE.CM-420</v>
      </c>
    </row>
    <row r="349" spans="1:8" ht="14" x14ac:dyDescent="0.3">
      <c r="A349" s="293">
        <v>408</v>
      </c>
      <c r="B349" s="293" t="s">
        <v>1212</v>
      </c>
      <c r="C349" s="294" t="s">
        <v>1213</v>
      </c>
      <c r="D349" s="294" t="s">
        <v>361</v>
      </c>
      <c r="E349" s="294">
        <v>2</v>
      </c>
      <c r="F349" s="250">
        <f ca="1">VLOOKUP($D349,Data!$C:$I,7,FALSE)</f>
        <v>0</v>
      </c>
      <c r="G349" s="296" t="str">
        <f t="shared" si="52"/>
        <v>DE.CM-42</v>
      </c>
      <c r="H349" s="296" t="str">
        <f t="shared" ca="1" si="53"/>
        <v>DE.CM-420</v>
      </c>
    </row>
    <row r="350" spans="1:8" ht="14" x14ac:dyDescent="0.3">
      <c r="A350" s="293">
        <v>409</v>
      </c>
      <c r="B350" s="293" t="s">
        <v>1212</v>
      </c>
      <c r="C350" s="294" t="s">
        <v>1144</v>
      </c>
      <c r="D350" s="294" t="s">
        <v>236</v>
      </c>
      <c r="E350" s="294">
        <v>3</v>
      </c>
      <c r="F350" s="250">
        <f ca="1">VLOOKUP($D350,Data!$C:$I,7,FALSE)</f>
        <v>0</v>
      </c>
      <c r="G350" s="296" t="str">
        <f t="shared" si="52"/>
        <v>DE.CM-43</v>
      </c>
      <c r="H350" s="296" t="str">
        <f t="shared" ca="1" si="53"/>
        <v>DE.CM-430</v>
      </c>
    </row>
    <row r="351" spans="1:8" ht="14" x14ac:dyDescent="0.3">
      <c r="A351" s="293">
        <v>410</v>
      </c>
      <c r="B351" s="293" t="s">
        <v>1000</v>
      </c>
      <c r="C351" s="294" t="s">
        <v>1182</v>
      </c>
      <c r="D351" s="294" t="s">
        <v>229</v>
      </c>
      <c r="E351" s="294">
        <v>1</v>
      </c>
      <c r="F351" s="250">
        <f ca="1">VLOOKUP($D351,Data!$C:$I,7,FALSE)</f>
        <v>0</v>
      </c>
      <c r="G351" s="296" t="str">
        <f t="shared" si="52"/>
        <v>DE.CM-51</v>
      </c>
      <c r="H351" s="296" t="str">
        <f t="shared" ca="1" si="53"/>
        <v>DE.CM-510</v>
      </c>
    </row>
    <row r="352" spans="1:8" ht="14" x14ac:dyDescent="0.3">
      <c r="A352" s="293">
        <v>411</v>
      </c>
      <c r="B352" s="293" t="s">
        <v>1000</v>
      </c>
      <c r="C352" s="294" t="s">
        <v>1206</v>
      </c>
      <c r="D352" s="294" t="s">
        <v>230</v>
      </c>
      <c r="E352" s="294">
        <v>1</v>
      </c>
      <c r="F352" s="250">
        <f ca="1">VLOOKUP($D352,Data!$C:$I,7,FALSE)</f>
        <v>0</v>
      </c>
      <c r="G352" s="296" t="str">
        <f t="shared" si="52"/>
        <v>DE.CM-51</v>
      </c>
      <c r="H352" s="296" t="str">
        <f t="shared" ca="1" si="53"/>
        <v>DE.CM-510</v>
      </c>
    </row>
    <row r="353" spans="1:8" ht="14" x14ac:dyDescent="0.3">
      <c r="A353" s="293">
        <v>412</v>
      </c>
      <c r="B353" s="293" t="s">
        <v>1000</v>
      </c>
      <c r="C353" s="294" t="s">
        <v>1143</v>
      </c>
      <c r="D353" s="294" t="s">
        <v>232</v>
      </c>
      <c r="E353" s="294">
        <v>2</v>
      </c>
      <c r="F353" s="250">
        <f ca="1">VLOOKUP($D353,Data!$C:$I,7,FALSE)</f>
        <v>0</v>
      </c>
      <c r="G353" s="296" t="str">
        <f t="shared" si="52"/>
        <v>DE.CM-52</v>
      </c>
      <c r="H353" s="296" t="str">
        <f t="shared" ca="1" si="53"/>
        <v>DE.CM-520</v>
      </c>
    </row>
    <row r="354" spans="1:8" ht="14" x14ac:dyDescent="0.3">
      <c r="A354" s="293">
        <v>414</v>
      </c>
      <c r="B354" s="293" t="s">
        <v>1000</v>
      </c>
      <c r="C354" s="294" t="s">
        <v>1090</v>
      </c>
      <c r="D354" s="294" t="s">
        <v>309</v>
      </c>
      <c r="E354" s="294">
        <v>3</v>
      </c>
      <c r="F354" s="250">
        <f ca="1">VLOOKUP($D354,Data!$C:$I,7,FALSE)</f>
        <v>0</v>
      </c>
      <c r="G354" s="296" t="str">
        <f t="shared" si="52"/>
        <v>DE.CM-53</v>
      </c>
      <c r="H354" s="296" t="str">
        <f t="shared" ca="1" si="53"/>
        <v>DE.CM-530</v>
      </c>
    </row>
    <row r="355" spans="1:8" ht="14" x14ac:dyDescent="0.3">
      <c r="A355" s="293">
        <v>415</v>
      </c>
      <c r="B355" s="293" t="s">
        <v>1001</v>
      </c>
      <c r="C355" s="294" t="s">
        <v>1079</v>
      </c>
      <c r="D355" s="294" t="s">
        <v>297</v>
      </c>
      <c r="E355" s="294">
        <v>1</v>
      </c>
      <c r="F355" s="250">
        <f ca="1">VLOOKUP($D355,Data!$C:$I,7,FALSE)</f>
        <v>0</v>
      </c>
      <c r="G355" s="296" t="str">
        <f t="shared" si="52"/>
        <v>DE.CM-61</v>
      </c>
      <c r="H355" s="296" t="str">
        <f t="shared" ca="1" si="53"/>
        <v>DE.CM-610</v>
      </c>
    </row>
    <row r="356" spans="1:8" ht="14" x14ac:dyDescent="0.3">
      <c r="A356" s="293">
        <v>416</v>
      </c>
      <c r="B356" s="293" t="s">
        <v>1001</v>
      </c>
      <c r="C356" s="294" t="s">
        <v>1182</v>
      </c>
      <c r="D356" s="294" t="s">
        <v>229</v>
      </c>
      <c r="E356" s="294">
        <v>1</v>
      </c>
      <c r="F356" s="250">
        <f ca="1">VLOOKUP($D356,Data!$C:$I,7,FALSE)</f>
        <v>0</v>
      </c>
      <c r="G356" s="296" t="str">
        <f t="shared" si="52"/>
        <v>DE.CM-61</v>
      </c>
      <c r="H356" s="296" t="str">
        <f t="shared" ca="1" si="53"/>
        <v>DE.CM-610</v>
      </c>
    </row>
    <row r="357" spans="1:8" ht="14" x14ac:dyDescent="0.3">
      <c r="A357" s="293">
        <v>417</v>
      </c>
      <c r="B357" s="293" t="s">
        <v>1001</v>
      </c>
      <c r="C357" s="294" t="s">
        <v>1206</v>
      </c>
      <c r="D357" s="294" t="s">
        <v>230</v>
      </c>
      <c r="E357" s="294">
        <v>1</v>
      </c>
      <c r="F357" s="250">
        <f ca="1">VLOOKUP($D357,Data!$C:$I,7,FALSE)</f>
        <v>0</v>
      </c>
      <c r="G357" s="296" t="str">
        <f t="shared" si="52"/>
        <v>DE.CM-61</v>
      </c>
      <c r="H357" s="296" t="str">
        <f t="shared" ca="1" si="53"/>
        <v>DE.CM-610</v>
      </c>
    </row>
    <row r="358" spans="1:8" ht="14" x14ac:dyDescent="0.3">
      <c r="A358" s="293">
        <v>418</v>
      </c>
      <c r="B358" s="293" t="s">
        <v>1001</v>
      </c>
      <c r="C358" s="294" t="s">
        <v>1143</v>
      </c>
      <c r="D358" s="294" t="s">
        <v>232</v>
      </c>
      <c r="E358" s="294">
        <v>2</v>
      </c>
      <c r="F358" s="250">
        <f ca="1">VLOOKUP($D358,Data!$C:$I,7,FALSE)</f>
        <v>0</v>
      </c>
      <c r="G358" s="296" t="str">
        <f t="shared" si="52"/>
        <v>DE.CM-62</v>
      </c>
      <c r="H358" s="296" t="str">
        <f t="shared" ca="1" si="53"/>
        <v>DE.CM-620</v>
      </c>
    </row>
    <row r="359" spans="1:8" ht="14" x14ac:dyDescent="0.3">
      <c r="A359" s="293">
        <v>420</v>
      </c>
      <c r="B359" s="293" t="s">
        <v>1001</v>
      </c>
      <c r="C359" s="294" t="s">
        <v>1090</v>
      </c>
      <c r="D359" s="294" t="s">
        <v>309</v>
      </c>
      <c r="E359" s="294">
        <v>3</v>
      </c>
      <c r="F359" s="250">
        <f ca="1">VLOOKUP($D359,Data!$C:$I,7,FALSE)</f>
        <v>0</v>
      </c>
      <c r="G359" s="296" t="str">
        <f t="shared" si="52"/>
        <v>DE.CM-63</v>
      </c>
      <c r="H359" s="296" t="str">
        <f t="shared" ca="1" si="53"/>
        <v>DE.CM-630</v>
      </c>
    </row>
    <row r="360" spans="1:8" ht="14" x14ac:dyDescent="0.3">
      <c r="A360" s="293">
        <v>421</v>
      </c>
      <c r="B360" s="293" t="s">
        <v>1214</v>
      </c>
      <c r="C360" s="294" t="s">
        <v>1182</v>
      </c>
      <c r="D360" s="294" t="s">
        <v>229</v>
      </c>
      <c r="E360" s="294">
        <v>1</v>
      </c>
      <c r="F360" s="250">
        <f ca="1">VLOOKUP($D360,Data!$C:$I,7,FALSE)</f>
        <v>0</v>
      </c>
      <c r="G360" s="296" t="str">
        <f t="shared" si="52"/>
        <v>DE.CM-71</v>
      </c>
      <c r="H360" s="296" t="str">
        <f t="shared" ca="1" si="53"/>
        <v>DE.CM-710</v>
      </c>
    </row>
    <row r="361" spans="1:8" ht="14" x14ac:dyDescent="0.3">
      <c r="A361" s="293">
        <v>422</v>
      </c>
      <c r="B361" s="293" t="s">
        <v>1214</v>
      </c>
      <c r="C361" s="294" t="s">
        <v>1206</v>
      </c>
      <c r="D361" s="294" t="s">
        <v>230</v>
      </c>
      <c r="E361" s="294">
        <v>1</v>
      </c>
      <c r="F361" s="250">
        <f ca="1">VLOOKUP($D361,Data!$C:$I,7,FALSE)</f>
        <v>0</v>
      </c>
      <c r="G361" s="296" t="str">
        <f t="shared" si="52"/>
        <v>DE.CM-71</v>
      </c>
      <c r="H361" s="296" t="str">
        <f t="shared" ca="1" si="53"/>
        <v>DE.CM-710</v>
      </c>
    </row>
    <row r="362" spans="1:8" ht="14" x14ac:dyDescent="0.3">
      <c r="A362" s="293">
        <v>423</v>
      </c>
      <c r="B362" s="293" t="s">
        <v>1214</v>
      </c>
      <c r="C362" s="294" t="s">
        <v>1143</v>
      </c>
      <c r="D362" s="294" t="s">
        <v>232</v>
      </c>
      <c r="E362" s="294">
        <v>2</v>
      </c>
      <c r="F362" s="250">
        <f ca="1">VLOOKUP($D362,Data!$C:$I,7,FALSE)</f>
        <v>0</v>
      </c>
      <c r="G362" s="296" t="str">
        <f t="shared" si="52"/>
        <v>DE.CM-72</v>
      </c>
      <c r="H362" s="296" t="str">
        <f t="shared" ca="1" si="53"/>
        <v>DE.CM-720</v>
      </c>
    </row>
    <row r="363" spans="1:8" ht="14" x14ac:dyDescent="0.3">
      <c r="A363" s="293">
        <v>424</v>
      </c>
      <c r="B363" s="293" t="s">
        <v>1214</v>
      </c>
      <c r="C363" s="294" t="s">
        <v>1207</v>
      </c>
      <c r="D363" s="294" t="s">
        <v>234</v>
      </c>
      <c r="E363" s="294">
        <v>2</v>
      </c>
      <c r="F363" s="250">
        <f ca="1">VLOOKUP($D363,Data!$C:$I,7,FALSE)</f>
        <v>0</v>
      </c>
      <c r="G363" s="296" t="str">
        <f t="shared" si="52"/>
        <v>DE.CM-72</v>
      </c>
      <c r="H363" s="296" t="str">
        <f t="shared" ca="1" si="53"/>
        <v>DE.CM-720</v>
      </c>
    </row>
    <row r="364" spans="1:8" ht="14" x14ac:dyDescent="0.3">
      <c r="A364" s="293">
        <v>425</v>
      </c>
      <c r="B364" s="293" t="s">
        <v>1214</v>
      </c>
      <c r="C364" s="294" t="s">
        <v>1061</v>
      </c>
      <c r="D364" s="294" t="s">
        <v>189</v>
      </c>
      <c r="E364" s="294">
        <v>2</v>
      </c>
      <c r="F364" s="250">
        <f ca="1">VLOOKUP($D364,Data!$C:$I,7,FALSE)</f>
        <v>0</v>
      </c>
      <c r="G364" s="296" t="str">
        <f t="shared" si="52"/>
        <v>DE.CM-72</v>
      </c>
      <c r="H364" s="296" t="str">
        <f t="shared" ca="1" si="53"/>
        <v>DE.CM-720</v>
      </c>
    </row>
    <row r="365" spans="1:8" ht="14" x14ac:dyDescent="0.3">
      <c r="A365" s="293">
        <v>426</v>
      </c>
      <c r="B365" s="293" t="s">
        <v>1214</v>
      </c>
      <c r="C365" s="294" t="s">
        <v>1208</v>
      </c>
      <c r="D365" s="294" t="s">
        <v>235</v>
      </c>
      <c r="E365" s="294">
        <v>3</v>
      </c>
      <c r="F365" s="250">
        <f ca="1">VLOOKUP($D365,Data!$C:$I,7,FALSE)</f>
        <v>0</v>
      </c>
      <c r="G365" s="296" t="str">
        <f t="shared" si="52"/>
        <v>DE.CM-73</v>
      </c>
      <c r="H365" s="296" t="str">
        <f t="shared" ca="1" si="53"/>
        <v>DE.CM-730</v>
      </c>
    </row>
    <row r="366" spans="1:8" ht="14" x14ac:dyDescent="0.3">
      <c r="A366" s="293">
        <v>427</v>
      </c>
      <c r="B366" s="293" t="s">
        <v>1214</v>
      </c>
      <c r="C366" s="294" t="s">
        <v>1144</v>
      </c>
      <c r="D366" s="294" t="s">
        <v>236</v>
      </c>
      <c r="E366" s="294">
        <v>3</v>
      </c>
      <c r="F366" s="250">
        <f ca="1">VLOOKUP($D366,Data!$C:$I,7,FALSE)</f>
        <v>0</v>
      </c>
      <c r="G366" s="296" t="str">
        <f t="shared" si="52"/>
        <v>DE.CM-73</v>
      </c>
      <c r="H366" s="296" t="str">
        <f t="shared" ca="1" si="53"/>
        <v>DE.CM-730</v>
      </c>
    </row>
    <row r="367" spans="1:8" ht="14" x14ac:dyDescent="0.3">
      <c r="A367" s="293">
        <v>428</v>
      </c>
      <c r="B367" s="293" t="s">
        <v>1215</v>
      </c>
      <c r="C367" s="294" t="s">
        <v>1052</v>
      </c>
      <c r="D367" s="294" t="s">
        <v>202</v>
      </c>
      <c r="E367" s="294">
        <v>1</v>
      </c>
      <c r="F367" s="250">
        <f ca="1">VLOOKUP($D367,Data!$C:$I,7,FALSE)</f>
        <v>0</v>
      </c>
      <c r="G367" s="296" t="str">
        <f t="shared" si="52"/>
        <v>DE.CM-81</v>
      </c>
      <c r="H367" s="296" t="str">
        <f t="shared" ca="1" si="53"/>
        <v>DE.CM-810</v>
      </c>
    </row>
    <row r="368" spans="1:8" ht="14" x14ac:dyDescent="0.3">
      <c r="A368" s="293">
        <v>429</v>
      </c>
      <c r="B368" s="293" t="s">
        <v>1215</v>
      </c>
      <c r="C368" s="294" t="s">
        <v>1055</v>
      </c>
      <c r="D368" s="294" t="s">
        <v>210</v>
      </c>
      <c r="E368" s="294">
        <v>3</v>
      </c>
      <c r="F368" s="250">
        <f ca="1">VLOOKUP($D368,Data!$C:$I,7,FALSE)</f>
        <v>0</v>
      </c>
      <c r="G368" s="296" t="str">
        <f t="shared" si="52"/>
        <v>DE.CM-83</v>
      </c>
      <c r="H368" s="296" t="str">
        <f t="shared" ca="1" si="53"/>
        <v>DE.CM-830</v>
      </c>
    </row>
    <row r="369" spans="1:8" ht="14" x14ac:dyDescent="0.3">
      <c r="A369" s="293">
        <v>431</v>
      </c>
      <c r="B369" s="293" t="s">
        <v>1215</v>
      </c>
      <c r="C369" s="294" t="s">
        <v>1056</v>
      </c>
      <c r="D369" s="294" t="s">
        <v>212</v>
      </c>
      <c r="E369" s="294">
        <v>3</v>
      </c>
      <c r="F369" s="250">
        <f ca="1">VLOOKUP($D369,Data!$C:$I,7,FALSE)</f>
        <v>0</v>
      </c>
      <c r="G369" s="296" t="str">
        <f t="shared" si="52"/>
        <v>DE.CM-83</v>
      </c>
      <c r="H369" s="296" t="str">
        <f t="shared" ca="1" si="53"/>
        <v>DE.CM-830</v>
      </c>
    </row>
    <row r="370" spans="1:8" ht="14" x14ac:dyDescent="0.3">
      <c r="A370" s="293">
        <v>432</v>
      </c>
      <c r="B370" s="293" t="s">
        <v>1215</v>
      </c>
      <c r="C370" s="294" t="s">
        <v>1017</v>
      </c>
      <c r="D370" s="294" t="s">
        <v>65</v>
      </c>
      <c r="E370" s="294">
        <v>2</v>
      </c>
      <c r="F370" s="250">
        <f ca="1">VLOOKUP($D370,Data!$C:$I,7,FALSE)</f>
        <v>0</v>
      </c>
      <c r="G370" s="296" t="str">
        <f t="shared" si="52"/>
        <v>DE.CM-82</v>
      </c>
      <c r="H370" s="296" t="str">
        <f t="shared" ca="1" si="53"/>
        <v>DE.CM-820</v>
      </c>
    </row>
    <row r="371" spans="1:8" ht="14" x14ac:dyDescent="0.3">
      <c r="A371" s="293">
        <v>433</v>
      </c>
      <c r="B371" s="293" t="s">
        <v>1002</v>
      </c>
      <c r="C371" s="294" t="s">
        <v>1020</v>
      </c>
      <c r="D371" s="294" t="s">
        <v>319</v>
      </c>
      <c r="E371" s="294">
        <v>1</v>
      </c>
      <c r="F371" s="250">
        <f ca="1">VLOOKUP($D371,Data!$C:$I,7,FALSE)</f>
        <v>0</v>
      </c>
      <c r="G371" s="296" t="str">
        <f t="shared" si="52"/>
        <v>DE.DP-11</v>
      </c>
      <c r="H371" s="296" t="str">
        <f t="shared" ca="1" si="53"/>
        <v>DE.DP-110</v>
      </c>
    </row>
    <row r="372" spans="1:8" ht="14" x14ac:dyDescent="0.3">
      <c r="A372" s="293">
        <v>434</v>
      </c>
      <c r="B372" s="293" t="s">
        <v>1002</v>
      </c>
      <c r="C372" s="294" t="s">
        <v>1126</v>
      </c>
      <c r="D372" s="294" t="s">
        <v>322</v>
      </c>
      <c r="E372" s="294">
        <v>2</v>
      </c>
      <c r="F372" s="250">
        <f ca="1">VLOOKUP($D372,Data!$C:$I,7,FALSE)</f>
        <v>0</v>
      </c>
      <c r="G372" s="296" t="str">
        <f t="shared" si="52"/>
        <v>DE.DP-12</v>
      </c>
      <c r="H372" s="296" t="str">
        <f t="shared" ca="1" si="53"/>
        <v>DE.DP-120</v>
      </c>
    </row>
    <row r="373" spans="1:8" ht="14" x14ac:dyDescent="0.3">
      <c r="A373" s="293">
        <v>436</v>
      </c>
      <c r="B373" s="293" t="s">
        <v>1216</v>
      </c>
      <c r="C373" s="294" t="s">
        <v>1217</v>
      </c>
      <c r="D373" s="294" t="s">
        <v>257</v>
      </c>
      <c r="E373" s="294">
        <v>2</v>
      </c>
      <c r="F373" s="250">
        <f ca="1">VLOOKUP($D373,Data!$C:$I,7,FALSE)</f>
        <v>0</v>
      </c>
      <c r="G373" s="296" t="str">
        <f t="shared" si="52"/>
        <v>DE.DP-22</v>
      </c>
      <c r="H373" s="296" t="str">
        <f t="shared" ca="1" si="53"/>
        <v>DE.DP-220</v>
      </c>
    </row>
    <row r="374" spans="1:8" ht="14" x14ac:dyDescent="0.3">
      <c r="A374" s="293">
        <v>437</v>
      </c>
      <c r="B374" s="293" t="s">
        <v>1216</v>
      </c>
      <c r="C374" s="294" t="s">
        <v>1164</v>
      </c>
      <c r="D374" s="294" t="s">
        <v>283</v>
      </c>
      <c r="E374" s="294">
        <v>2</v>
      </c>
      <c r="F374" s="250">
        <f ca="1">VLOOKUP($D374,Data!$C:$I,7,FALSE)</f>
        <v>0</v>
      </c>
      <c r="G374" s="296" t="str">
        <f t="shared" si="52"/>
        <v>DE.DP-22</v>
      </c>
      <c r="H374" s="296" t="str">
        <f t="shared" ca="1" si="53"/>
        <v>DE.DP-220</v>
      </c>
    </row>
    <row r="375" spans="1:8" ht="14" x14ac:dyDescent="0.3">
      <c r="A375" s="293">
        <v>438</v>
      </c>
      <c r="B375" s="293" t="s">
        <v>1216</v>
      </c>
      <c r="C375" s="294" t="s">
        <v>1061</v>
      </c>
      <c r="D375" s="294" t="s">
        <v>189</v>
      </c>
      <c r="E375" s="294">
        <v>2</v>
      </c>
      <c r="F375" s="250">
        <f ca="1">VLOOKUP($D375,Data!$C:$I,7,FALSE)</f>
        <v>0</v>
      </c>
      <c r="G375" s="296" t="str">
        <f t="shared" si="52"/>
        <v>DE.DP-22</v>
      </c>
      <c r="H375" s="296" t="str">
        <f t="shared" ca="1" si="53"/>
        <v>DE.DP-220</v>
      </c>
    </row>
    <row r="376" spans="1:8" ht="14" x14ac:dyDescent="0.3">
      <c r="A376" s="293">
        <v>439</v>
      </c>
      <c r="B376" s="293" t="s">
        <v>1216</v>
      </c>
      <c r="C376" s="294" t="s">
        <v>1218</v>
      </c>
      <c r="D376" s="294" t="s">
        <v>260</v>
      </c>
      <c r="E376" s="294">
        <v>3</v>
      </c>
      <c r="F376" s="250">
        <f ca="1">VLOOKUP($D376,Data!$C:$I,7,FALSE)</f>
        <v>0</v>
      </c>
      <c r="G376" s="296" t="str">
        <f t="shared" si="52"/>
        <v>DE.DP-23</v>
      </c>
      <c r="H376" s="296" t="str">
        <f t="shared" ca="1" si="53"/>
        <v>DE.DP-230</v>
      </c>
    </row>
    <row r="377" spans="1:8" ht="14" x14ac:dyDescent="0.3">
      <c r="A377" s="293">
        <v>441</v>
      </c>
      <c r="B377" s="293" t="s">
        <v>1216</v>
      </c>
      <c r="C377" s="294" t="s">
        <v>1017</v>
      </c>
      <c r="D377" s="294" t="s">
        <v>65</v>
      </c>
      <c r="E377" s="294">
        <v>2</v>
      </c>
      <c r="F377" s="250">
        <f ca="1">VLOOKUP($D377,Data!$C:$I,7,FALSE)</f>
        <v>0</v>
      </c>
      <c r="G377" s="296" t="str">
        <f t="shared" si="52"/>
        <v>DE.DP-22</v>
      </c>
      <c r="H377" s="296" t="str">
        <f t="shared" ca="1" si="53"/>
        <v>DE.DP-220</v>
      </c>
    </row>
    <row r="378" spans="1:8" ht="14" x14ac:dyDescent="0.3">
      <c r="A378" s="293">
        <v>442</v>
      </c>
      <c r="B378" s="293" t="s">
        <v>1216</v>
      </c>
      <c r="C378" s="294" t="s">
        <v>1054</v>
      </c>
      <c r="D378" s="294" t="s">
        <v>48</v>
      </c>
      <c r="E378" s="294">
        <v>2</v>
      </c>
      <c r="F378" s="250">
        <f ca="1">VLOOKUP($D378,Data!$C:$I,7,FALSE)</f>
        <v>0</v>
      </c>
      <c r="G378" s="296" t="str">
        <f t="shared" si="52"/>
        <v>DE.DP-22</v>
      </c>
      <c r="H378" s="296" t="str">
        <f t="shared" ca="1" si="53"/>
        <v>DE.DP-220</v>
      </c>
    </row>
    <row r="379" spans="1:8" ht="14" x14ac:dyDescent="0.3">
      <c r="A379" s="293">
        <v>442</v>
      </c>
      <c r="B379" s="293" t="s">
        <v>1216</v>
      </c>
      <c r="C379" s="294" t="s">
        <v>1054</v>
      </c>
      <c r="D379" s="294" t="s">
        <v>61</v>
      </c>
      <c r="E379" s="295">
        <v>3</v>
      </c>
      <c r="F379" s="250">
        <f ca="1">VLOOKUP($D379,Data!$C:$I,7,FALSE)</f>
        <v>0</v>
      </c>
      <c r="G379" s="296" t="str">
        <f t="shared" si="52"/>
        <v>DE.DP-23</v>
      </c>
      <c r="H379" s="296" t="str">
        <f t="shared" ca="1" si="53"/>
        <v>DE.DP-230</v>
      </c>
    </row>
    <row r="380" spans="1:8" ht="14" x14ac:dyDescent="0.3">
      <c r="A380" s="293">
        <v>443</v>
      </c>
      <c r="B380" s="293" t="s">
        <v>1219</v>
      </c>
      <c r="C380" s="294" t="s">
        <v>1092</v>
      </c>
      <c r="D380" s="294" t="s">
        <v>276</v>
      </c>
      <c r="E380" s="294">
        <v>2</v>
      </c>
      <c r="F380" s="250">
        <f ca="1">VLOOKUP($D380,Data!$C:$I,7,FALSE)</f>
        <v>0</v>
      </c>
      <c r="G380" s="296" t="str">
        <f t="shared" si="52"/>
        <v>DE.DP-32</v>
      </c>
      <c r="H380" s="296" t="str">
        <f t="shared" ca="1" si="53"/>
        <v>DE.DP-320</v>
      </c>
    </row>
    <row r="381" spans="1:8" ht="14" x14ac:dyDescent="0.3">
      <c r="A381" s="293">
        <v>444</v>
      </c>
      <c r="B381" s="293" t="s">
        <v>1219</v>
      </c>
      <c r="C381" s="294" t="s">
        <v>1094</v>
      </c>
      <c r="D381" s="294" t="s">
        <v>279</v>
      </c>
      <c r="E381" s="294">
        <v>3</v>
      </c>
      <c r="F381" s="250">
        <f ca="1">VLOOKUP($D381,Data!$C:$I,7,FALSE)</f>
        <v>0</v>
      </c>
      <c r="G381" s="296" t="str">
        <f t="shared" si="52"/>
        <v>DE.DP-33</v>
      </c>
      <c r="H381" s="296" t="str">
        <f t="shared" ca="1" si="53"/>
        <v>DE.DP-330</v>
      </c>
    </row>
    <row r="382" spans="1:8" ht="14" x14ac:dyDescent="0.3">
      <c r="A382" s="293">
        <v>445</v>
      </c>
      <c r="B382" s="293" t="s">
        <v>1220</v>
      </c>
      <c r="C382" s="294" t="s">
        <v>1221</v>
      </c>
      <c r="D382" s="294" t="s">
        <v>256</v>
      </c>
      <c r="E382" s="294">
        <v>1</v>
      </c>
      <c r="F382" s="250">
        <f ca="1">VLOOKUP($D382,Data!$C:$I,7,FALSE)</f>
        <v>0</v>
      </c>
      <c r="G382" s="296" t="str">
        <f t="shared" si="52"/>
        <v>DE.DP-41</v>
      </c>
      <c r="H382" s="296" t="str">
        <f t="shared" ca="1" si="53"/>
        <v>DE.DP-410</v>
      </c>
    </row>
    <row r="383" spans="1:8" ht="14" x14ac:dyDescent="0.3">
      <c r="A383" s="293">
        <v>446</v>
      </c>
      <c r="B383" s="293" t="s">
        <v>1220</v>
      </c>
      <c r="C383" s="294" t="s">
        <v>1222</v>
      </c>
      <c r="D383" s="294" t="s">
        <v>273</v>
      </c>
      <c r="E383" s="294">
        <v>1</v>
      </c>
      <c r="F383" s="250">
        <f ca="1">VLOOKUP($D383,Data!$C:$I,7,FALSE)</f>
        <v>0</v>
      </c>
      <c r="G383" s="296" t="str">
        <f t="shared" si="52"/>
        <v>DE.DP-41</v>
      </c>
      <c r="H383" s="296" t="str">
        <f t="shared" ca="1" si="53"/>
        <v>DE.DP-410</v>
      </c>
    </row>
    <row r="384" spans="1:8" ht="14" x14ac:dyDescent="0.3">
      <c r="A384" s="293">
        <v>447</v>
      </c>
      <c r="B384" s="293" t="s">
        <v>1220</v>
      </c>
      <c r="C384" s="294" t="s">
        <v>967</v>
      </c>
      <c r="D384" s="294" t="s">
        <v>192</v>
      </c>
      <c r="E384" s="294">
        <v>2</v>
      </c>
      <c r="F384" s="250">
        <f ca="1">VLOOKUP($D384,Data!$C:$I,7,FALSE)</f>
        <v>0</v>
      </c>
      <c r="G384" s="296" t="str">
        <f t="shared" si="52"/>
        <v>DE.DP-42</v>
      </c>
      <c r="H384" s="296" t="str">
        <f t="shared" ca="1" si="53"/>
        <v>DE.DP-420</v>
      </c>
    </row>
    <row r="385" spans="1:8" ht="14" x14ac:dyDescent="0.3">
      <c r="A385" s="293">
        <v>448</v>
      </c>
      <c r="B385" s="293" t="s">
        <v>1220</v>
      </c>
      <c r="C385" s="294" t="s">
        <v>968</v>
      </c>
      <c r="D385" s="294" t="s">
        <v>196</v>
      </c>
      <c r="E385" s="294">
        <v>3</v>
      </c>
      <c r="F385" s="250">
        <f ca="1">VLOOKUP($D385,Data!$C:$I,7,FALSE)</f>
        <v>0</v>
      </c>
      <c r="G385" s="296" t="str">
        <f t="shared" si="52"/>
        <v>DE.DP-43</v>
      </c>
      <c r="H385" s="296" t="str">
        <f t="shared" ca="1" si="53"/>
        <v>DE.DP-430</v>
      </c>
    </row>
    <row r="386" spans="1:8" ht="14" x14ac:dyDescent="0.3">
      <c r="A386" s="293">
        <v>449</v>
      </c>
      <c r="B386" s="293" t="s">
        <v>1220</v>
      </c>
      <c r="C386" s="294" t="s">
        <v>969</v>
      </c>
      <c r="D386" s="294" t="s">
        <v>196</v>
      </c>
      <c r="E386" s="294">
        <v>3</v>
      </c>
      <c r="F386" s="250">
        <f ca="1">VLOOKUP($D386,Data!$C:$I,7,FALSE)</f>
        <v>0</v>
      </c>
      <c r="G386" s="296" t="str">
        <f t="shared" ref="G386:G449" si="54">CONCATENATE($B386,$E386)</f>
        <v>DE.DP-43</v>
      </c>
      <c r="H386" s="296" t="str">
        <f t="shared" ref="H386:H449" ca="1" si="55">_xlfn.IFNA(CONCATENATE($B386,$E386,$F386),CONCATENATE($B386,$E386,0))</f>
        <v>DE.DP-430</v>
      </c>
    </row>
    <row r="387" spans="1:8" ht="14" x14ac:dyDescent="0.3">
      <c r="A387" s="293">
        <v>453</v>
      </c>
      <c r="B387" s="293" t="s">
        <v>1223</v>
      </c>
      <c r="C387" s="294" t="s">
        <v>1195</v>
      </c>
      <c r="D387" s="294" t="s">
        <v>277</v>
      </c>
      <c r="E387" s="294">
        <v>3</v>
      </c>
      <c r="F387" s="250">
        <f ca="1">VLOOKUP($D387,Data!$C:$I,7,FALSE)</f>
        <v>0</v>
      </c>
      <c r="G387" s="296" t="str">
        <f t="shared" si="54"/>
        <v>DE.DP-53</v>
      </c>
      <c r="H387" s="296" t="str">
        <f t="shared" ca="1" si="55"/>
        <v>DE.DP-530</v>
      </c>
    </row>
    <row r="388" spans="1:8" ht="14" x14ac:dyDescent="0.3">
      <c r="A388" s="293">
        <v>455</v>
      </c>
      <c r="B388" s="293" t="s">
        <v>1224</v>
      </c>
      <c r="C388" s="294" t="s">
        <v>1225</v>
      </c>
      <c r="D388" s="294" t="s">
        <v>274</v>
      </c>
      <c r="E388" s="294">
        <v>2</v>
      </c>
      <c r="F388" s="250">
        <f ca="1">VLOOKUP($D388,Data!$C:$I,7,FALSE)</f>
        <v>0</v>
      </c>
      <c r="G388" s="296" t="str">
        <f t="shared" si="54"/>
        <v>RS.RP-12</v>
      </c>
      <c r="H388" s="296" t="str">
        <f t="shared" ca="1" si="55"/>
        <v>RS.RP-120</v>
      </c>
    </row>
    <row r="389" spans="1:8" ht="14" x14ac:dyDescent="0.3">
      <c r="A389" s="293">
        <v>456</v>
      </c>
      <c r="B389" s="293" t="s">
        <v>1226</v>
      </c>
      <c r="C389" s="294" t="s">
        <v>1227</v>
      </c>
      <c r="D389" s="294" t="s">
        <v>271</v>
      </c>
      <c r="E389" s="294">
        <v>1</v>
      </c>
      <c r="F389" s="250">
        <f ca="1">VLOOKUP($D389,Data!$C:$I,7,FALSE)</f>
        <v>0</v>
      </c>
      <c r="G389" s="296" t="str">
        <f t="shared" si="54"/>
        <v>RS.CO-11</v>
      </c>
      <c r="H389" s="296" t="str">
        <f t="shared" ca="1" si="55"/>
        <v>RS.CO-110</v>
      </c>
    </row>
    <row r="390" spans="1:8" ht="14" x14ac:dyDescent="0.3">
      <c r="A390" s="293">
        <v>459</v>
      </c>
      <c r="B390" s="293" t="s">
        <v>1228</v>
      </c>
      <c r="C390" s="294" t="s">
        <v>1221</v>
      </c>
      <c r="D390" s="294" t="s">
        <v>256</v>
      </c>
      <c r="E390" s="294">
        <v>1</v>
      </c>
      <c r="F390" s="250">
        <f ca="1">VLOOKUP($D390,Data!$C:$I,7,FALSE)</f>
        <v>0</v>
      </c>
      <c r="G390" s="296" t="str">
        <f t="shared" si="54"/>
        <v>RS.CO-21</v>
      </c>
      <c r="H390" s="296" t="str">
        <f t="shared" ca="1" si="55"/>
        <v>RS.CO-210</v>
      </c>
    </row>
    <row r="391" spans="1:8" ht="14" x14ac:dyDescent="0.3">
      <c r="A391" s="293">
        <v>460</v>
      </c>
      <c r="B391" s="293" t="s">
        <v>1229</v>
      </c>
      <c r="C391" s="294" t="s">
        <v>967</v>
      </c>
      <c r="D391" s="294" t="s">
        <v>192</v>
      </c>
      <c r="E391" s="294">
        <v>2</v>
      </c>
      <c r="F391" s="250">
        <f ca="1">VLOOKUP($D391,Data!$C:$I,7,FALSE)</f>
        <v>0</v>
      </c>
      <c r="G391" s="296" t="str">
        <f t="shared" si="54"/>
        <v>RS.CO-32</v>
      </c>
      <c r="H391" s="296" t="str">
        <f t="shared" ca="1" si="55"/>
        <v>RS.CO-320</v>
      </c>
    </row>
    <row r="392" spans="1:8" ht="14" x14ac:dyDescent="0.3">
      <c r="A392" s="293">
        <v>462</v>
      </c>
      <c r="B392" s="293" t="s">
        <v>1229</v>
      </c>
      <c r="C392" s="294" t="s">
        <v>968</v>
      </c>
      <c r="D392" s="294" t="s">
        <v>196</v>
      </c>
      <c r="E392" s="294">
        <v>3</v>
      </c>
      <c r="F392" s="250">
        <f ca="1">VLOOKUP($D392,Data!$C:$I,7,FALSE)</f>
        <v>0</v>
      </c>
      <c r="G392" s="296" t="str">
        <f t="shared" si="54"/>
        <v>RS.CO-33</v>
      </c>
      <c r="H392" s="296" t="str">
        <f t="shared" ca="1" si="55"/>
        <v>RS.CO-330</v>
      </c>
    </row>
    <row r="393" spans="1:8" ht="14" x14ac:dyDescent="0.3">
      <c r="A393" s="293">
        <v>463</v>
      </c>
      <c r="B393" s="293" t="s">
        <v>1229</v>
      </c>
      <c r="C393" s="294" t="s">
        <v>1225</v>
      </c>
      <c r="D393" s="294" t="s">
        <v>274</v>
      </c>
      <c r="E393" s="294">
        <v>2</v>
      </c>
      <c r="F393" s="250">
        <f ca="1">VLOOKUP($D393,Data!$C:$I,7,FALSE)</f>
        <v>0</v>
      </c>
      <c r="G393" s="296" t="str">
        <f t="shared" si="54"/>
        <v>RS.CO-32</v>
      </c>
      <c r="H393" s="296" t="str">
        <f t="shared" ca="1" si="55"/>
        <v>RS.CO-320</v>
      </c>
    </row>
    <row r="394" spans="1:8" ht="14" x14ac:dyDescent="0.3">
      <c r="A394" s="293">
        <v>464</v>
      </c>
      <c r="B394" s="293" t="s">
        <v>1229</v>
      </c>
      <c r="C394" s="294" t="s">
        <v>969</v>
      </c>
      <c r="D394" s="294" t="s">
        <v>196</v>
      </c>
      <c r="E394" s="294">
        <v>3</v>
      </c>
      <c r="F394" s="250">
        <f ca="1">VLOOKUP($D394,Data!$C:$I,7,FALSE)</f>
        <v>0</v>
      </c>
      <c r="G394" s="296" t="str">
        <f t="shared" si="54"/>
        <v>RS.CO-33</v>
      </c>
      <c r="H394" s="296" t="str">
        <f t="shared" ca="1" si="55"/>
        <v>RS.CO-330</v>
      </c>
    </row>
    <row r="395" spans="1:8" ht="14" x14ac:dyDescent="0.3">
      <c r="A395" s="293">
        <v>465</v>
      </c>
      <c r="B395" s="293" t="s">
        <v>1229</v>
      </c>
      <c r="C395" s="294" t="s">
        <v>1230</v>
      </c>
      <c r="D395" s="294" t="s">
        <v>278</v>
      </c>
      <c r="E395" s="294">
        <v>3</v>
      </c>
      <c r="F395" s="250">
        <f ca="1">VLOOKUP($D395,Data!$C:$I,7,FALSE)</f>
        <v>0</v>
      </c>
      <c r="G395" s="296" t="str">
        <f t="shared" si="54"/>
        <v>RS.CO-33</v>
      </c>
      <c r="H395" s="296" t="str">
        <f t="shared" ca="1" si="55"/>
        <v>RS.CO-330</v>
      </c>
    </row>
    <row r="396" spans="1:8" ht="14" x14ac:dyDescent="0.3">
      <c r="A396" s="293">
        <v>467</v>
      </c>
      <c r="B396" s="293" t="s">
        <v>1231</v>
      </c>
      <c r="C396" s="294" t="s">
        <v>1225</v>
      </c>
      <c r="D396" s="294" t="s">
        <v>274</v>
      </c>
      <c r="E396" s="294">
        <v>2</v>
      </c>
      <c r="F396" s="250">
        <f ca="1">VLOOKUP($D396,Data!$C:$I,7,FALSE)</f>
        <v>0</v>
      </c>
      <c r="G396" s="296" t="str">
        <f t="shared" si="54"/>
        <v>RS.CO-42</v>
      </c>
      <c r="H396" s="296" t="str">
        <f t="shared" ca="1" si="55"/>
        <v>RS.CO-420</v>
      </c>
    </row>
    <row r="397" spans="1:8" ht="14" x14ac:dyDescent="0.3">
      <c r="A397" s="293">
        <v>469</v>
      </c>
      <c r="B397" s="293" t="s">
        <v>1232</v>
      </c>
      <c r="C397" s="294" t="s">
        <v>967</v>
      </c>
      <c r="D397" s="294" t="s">
        <v>192</v>
      </c>
      <c r="E397" s="294">
        <v>2</v>
      </c>
      <c r="F397" s="250">
        <f ca="1">VLOOKUP($D397,Data!$C:$I,7,FALSE)</f>
        <v>0</v>
      </c>
      <c r="G397" s="296" t="str">
        <f t="shared" si="54"/>
        <v>RS.CO-52</v>
      </c>
      <c r="H397" s="296" t="str">
        <f t="shared" ca="1" si="55"/>
        <v>RS.CO-520</v>
      </c>
    </row>
    <row r="398" spans="1:8" ht="14" x14ac:dyDescent="0.3">
      <c r="A398" s="293">
        <v>470</v>
      </c>
      <c r="B398" s="293" t="s">
        <v>1232</v>
      </c>
      <c r="C398" s="294" t="s">
        <v>968</v>
      </c>
      <c r="D398" s="294" t="s">
        <v>196</v>
      </c>
      <c r="E398" s="294">
        <v>3</v>
      </c>
      <c r="F398" s="250">
        <f ca="1">VLOOKUP($D398,Data!$C:$I,7,FALSE)</f>
        <v>0</v>
      </c>
      <c r="G398" s="296" t="str">
        <f t="shared" si="54"/>
        <v>RS.CO-53</v>
      </c>
      <c r="H398" s="296" t="str">
        <f t="shared" ca="1" si="55"/>
        <v>RS.CO-530</v>
      </c>
    </row>
    <row r="399" spans="1:8" ht="14" x14ac:dyDescent="0.3">
      <c r="A399" s="293">
        <v>471</v>
      </c>
      <c r="B399" s="293" t="s">
        <v>1232</v>
      </c>
      <c r="C399" s="294" t="s">
        <v>969</v>
      </c>
      <c r="D399" s="294" t="s">
        <v>196</v>
      </c>
      <c r="E399" s="294">
        <v>3</v>
      </c>
      <c r="F399" s="250">
        <f ca="1">VLOOKUP($D399,Data!$C:$I,7,FALSE)</f>
        <v>0</v>
      </c>
      <c r="G399" s="296" t="str">
        <f t="shared" si="54"/>
        <v>RS.CO-53</v>
      </c>
      <c r="H399" s="296" t="str">
        <f t="shared" ca="1" si="55"/>
        <v>RS.CO-530</v>
      </c>
    </row>
    <row r="400" spans="1:8" ht="14" x14ac:dyDescent="0.3">
      <c r="A400" s="293">
        <v>472</v>
      </c>
      <c r="B400" s="293" t="s">
        <v>1232</v>
      </c>
      <c r="C400" s="294" t="s">
        <v>970</v>
      </c>
      <c r="D400" s="294" t="s">
        <v>200</v>
      </c>
      <c r="E400" s="294">
        <v>1</v>
      </c>
      <c r="F400" s="250">
        <f ca="1">VLOOKUP($D400,Data!$C:$I,7,FALSE)</f>
        <v>0</v>
      </c>
      <c r="G400" s="296" t="str">
        <f t="shared" si="54"/>
        <v>RS.CO-51</v>
      </c>
      <c r="H400" s="296" t="str">
        <f t="shared" ca="1" si="55"/>
        <v>RS.CO-510</v>
      </c>
    </row>
    <row r="401" spans="1:8" ht="14" x14ac:dyDescent="0.3">
      <c r="A401" s="293">
        <v>479</v>
      </c>
      <c r="B401" s="293" t="s">
        <v>1233</v>
      </c>
      <c r="C401" s="294" t="s">
        <v>1197</v>
      </c>
      <c r="D401" s="294" t="s">
        <v>258</v>
      </c>
      <c r="E401" s="294">
        <v>2</v>
      </c>
      <c r="F401" s="250">
        <f ca="1">VLOOKUP($D401,Data!$C:$I,7,FALSE)</f>
        <v>0</v>
      </c>
      <c r="G401" s="296" t="str">
        <f t="shared" si="54"/>
        <v>RS.AN-12</v>
      </c>
      <c r="H401" s="296" t="str">
        <f t="shared" ca="1" si="55"/>
        <v>RS.AN-120</v>
      </c>
    </row>
    <row r="402" spans="1:8" ht="14" x14ac:dyDescent="0.3">
      <c r="A402" s="293">
        <v>480</v>
      </c>
      <c r="B402" s="293" t="s">
        <v>1233</v>
      </c>
      <c r="C402" s="294" t="s">
        <v>1193</v>
      </c>
      <c r="D402" s="294" t="s">
        <v>259</v>
      </c>
      <c r="E402" s="294">
        <v>3</v>
      </c>
      <c r="F402" s="250">
        <f ca="1">VLOOKUP($D402,Data!$C:$I,7,FALSE)</f>
        <v>0</v>
      </c>
      <c r="G402" s="296" t="str">
        <f t="shared" si="54"/>
        <v>RS.AN-13</v>
      </c>
      <c r="H402" s="296" t="str">
        <f t="shared" ca="1" si="55"/>
        <v>RS.AN-130</v>
      </c>
    </row>
    <row r="403" spans="1:8" ht="14" x14ac:dyDescent="0.3">
      <c r="A403" s="293">
        <v>481</v>
      </c>
      <c r="B403" s="293" t="s">
        <v>1234</v>
      </c>
      <c r="C403" s="294" t="s">
        <v>1200</v>
      </c>
      <c r="D403" s="294" t="s">
        <v>264</v>
      </c>
      <c r="E403" s="294">
        <v>2</v>
      </c>
      <c r="F403" s="250">
        <f ca="1">VLOOKUP($D403,Data!$C:$I,7,FALSE)</f>
        <v>0</v>
      </c>
      <c r="G403" s="296" t="str">
        <f t="shared" si="54"/>
        <v>RS.AN-22</v>
      </c>
      <c r="H403" s="296" t="str">
        <f t="shared" ca="1" si="55"/>
        <v>RS.AN-220</v>
      </c>
    </row>
    <row r="404" spans="1:8" ht="14" x14ac:dyDescent="0.3">
      <c r="A404" s="293">
        <v>482</v>
      </c>
      <c r="B404" s="293" t="s">
        <v>1234</v>
      </c>
      <c r="C404" s="294" t="s">
        <v>1061</v>
      </c>
      <c r="D404" s="294" t="s">
        <v>189</v>
      </c>
      <c r="E404" s="294">
        <v>2</v>
      </c>
      <c r="F404" s="250">
        <f ca="1">VLOOKUP($D404,Data!$C:$I,7,FALSE)</f>
        <v>0</v>
      </c>
      <c r="G404" s="296" t="str">
        <f t="shared" si="54"/>
        <v>RS.AN-22</v>
      </c>
      <c r="H404" s="296" t="str">
        <f t="shared" ca="1" si="55"/>
        <v>RS.AN-220</v>
      </c>
    </row>
    <row r="405" spans="1:8" ht="14" x14ac:dyDescent="0.3">
      <c r="A405" s="293">
        <v>483</v>
      </c>
      <c r="B405" s="293" t="s">
        <v>1234</v>
      </c>
      <c r="C405" s="294" t="s">
        <v>1201</v>
      </c>
      <c r="D405" s="294" t="s">
        <v>269</v>
      </c>
      <c r="E405" s="294">
        <v>3</v>
      </c>
      <c r="F405" s="250">
        <f ca="1">VLOOKUP($D405,Data!$C:$I,7,FALSE)</f>
        <v>0</v>
      </c>
      <c r="G405" s="296" t="str">
        <f t="shared" si="54"/>
        <v>RS.AN-23</v>
      </c>
      <c r="H405" s="296" t="str">
        <f t="shared" ca="1" si="55"/>
        <v>RS.AN-230</v>
      </c>
    </row>
    <row r="406" spans="1:8" ht="14" x14ac:dyDescent="0.3">
      <c r="A406" s="293">
        <v>484</v>
      </c>
      <c r="B406" s="293" t="s">
        <v>1234</v>
      </c>
      <c r="C406" s="294" t="s">
        <v>1054</v>
      </c>
      <c r="D406" s="294" t="s">
        <v>48</v>
      </c>
      <c r="E406" s="294">
        <v>2</v>
      </c>
      <c r="F406" s="250">
        <f ca="1">VLOOKUP($D406,Data!$C:$I,7,FALSE)</f>
        <v>0</v>
      </c>
      <c r="G406" s="296" t="str">
        <f t="shared" si="54"/>
        <v>RS.AN-22</v>
      </c>
      <c r="H406" s="296" t="str">
        <f t="shared" ca="1" si="55"/>
        <v>RS.AN-220</v>
      </c>
    </row>
    <row r="407" spans="1:8" ht="14" x14ac:dyDescent="0.3">
      <c r="A407" s="293">
        <v>484</v>
      </c>
      <c r="B407" s="293" t="s">
        <v>1234</v>
      </c>
      <c r="C407" s="294" t="s">
        <v>1054</v>
      </c>
      <c r="D407" s="294" t="s">
        <v>61</v>
      </c>
      <c r="E407" s="295">
        <v>3</v>
      </c>
      <c r="F407" s="250">
        <f ca="1">VLOOKUP($D407,Data!$C:$I,7,FALSE)</f>
        <v>0</v>
      </c>
      <c r="G407" s="296" t="str">
        <f t="shared" si="54"/>
        <v>RS.AN-23</v>
      </c>
      <c r="H407" s="296" t="str">
        <f t="shared" ca="1" si="55"/>
        <v>RS.AN-230</v>
      </c>
    </row>
    <row r="408" spans="1:8" ht="14" x14ac:dyDescent="0.3">
      <c r="A408" s="293">
        <v>485</v>
      </c>
      <c r="B408" s="293" t="s">
        <v>1235</v>
      </c>
      <c r="C408" s="294" t="s">
        <v>1225</v>
      </c>
      <c r="D408" s="294" t="s">
        <v>274</v>
      </c>
      <c r="E408" s="294">
        <v>2</v>
      </c>
      <c r="F408" s="250">
        <f ca="1">VLOOKUP($D408,Data!$C:$I,7,FALSE)</f>
        <v>0</v>
      </c>
      <c r="G408" s="296" t="str">
        <f t="shared" si="54"/>
        <v>RS.AN-32</v>
      </c>
      <c r="H408" s="296" t="str">
        <f t="shared" ca="1" si="55"/>
        <v>RS.AN-320</v>
      </c>
    </row>
    <row r="409" spans="1:8" ht="14" x14ac:dyDescent="0.3">
      <c r="A409" s="293">
        <v>486</v>
      </c>
      <c r="B409" s="293" t="s">
        <v>1235</v>
      </c>
      <c r="C409" s="294" t="s">
        <v>1195</v>
      </c>
      <c r="D409" s="294" t="s">
        <v>277</v>
      </c>
      <c r="E409" s="294">
        <v>3</v>
      </c>
      <c r="F409" s="250">
        <f ca="1">VLOOKUP($D409,Data!$C:$I,7,FALSE)</f>
        <v>0</v>
      </c>
      <c r="G409" s="296" t="str">
        <f t="shared" si="54"/>
        <v>RS.AN-33</v>
      </c>
      <c r="H409" s="296" t="str">
        <f t="shared" ca="1" si="55"/>
        <v>RS.AN-330</v>
      </c>
    </row>
    <row r="410" spans="1:8" ht="14" x14ac:dyDescent="0.3">
      <c r="A410" s="293">
        <v>487</v>
      </c>
      <c r="B410" s="293" t="s">
        <v>1235</v>
      </c>
      <c r="C410" s="294" t="s">
        <v>1230</v>
      </c>
      <c r="D410" s="294" t="s">
        <v>278</v>
      </c>
      <c r="E410" s="294">
        <v>3</v>
      </c>
      <c r="F410" s="250">
        <f ca="1">VLOOKUP($D410,Data!$C:$I,7,FALSE)</f>
        <v>0</v>
      </c>
      <c r="G410" s="296" t="str">
        <f t="shared" si="54"/>
        <v>RS.AN-33</v>
      </c>
      <c r="H410" s="296" t="str">
        <f t="shared" ca="1" si="55"/>
        <v>RS.AN-330</v>
      </c>
    </row>
    <row r="411" spans="1:8" ht="14" x14ac:dyDescent="0.3">
      <c r="A411" s="293">
        <v>488</v>
      </c>
      <c r="B411" s="293" t="s">
        <v>1236</v>
      </c>
      <c r="C411" s="294" t="s">
        <v>1203</v>
      </c>
      <c r="D411" s="294" t="s">
        <v>262</v>
      </c>
      <c r="E411" s="294">
        <v>1</v>
      </c>
      <c r="F411" s="250">
        <f ca="1">VLOOKUP($D411,Data!$C:$I,7,FALSE)</f>
        <v>0</v>
      </c>
      <c r="G411" s="296" t="str">
        <f t="shared" si="54"/>
        <v>RS.AN-41</v>
      </c>
      <c r="H411" s="296" t="str">
        <f t="shared" ca="1" si="55"/>
        <v>RS.AN-410</v>
      </c>
    </row>
    <row r="412" spans="1:8" ht="14" x14ac:dyDescent="0.3">
      <c r="A412" s="293">
        <v>489</v>
      </c>
      <c r="B412" s="293" t="s">
        <v>1236</v>
      </c>
      <c r="C412" s="294" t="s">
        <v>1217</v>
      </c>
      <c r="D412" s="294" t="s">
        <v>257</v>
      </c>
      <c r="E412" s="294">
        <v>2</v>
      </c>
      <c r="F412" s="250">
        <f ca="1">VLOOKUP($D412,Data!$C:$I,7,FALSE)</f>
        <v>0</v>
      </c>
      <c r="G412" s="296" t="str">
        <f t="shared" si="54"/>
        <v>RS.AN-42</v>
      </c>
      <c r="H412" s="296" t="str">
        <f t="shared" ca="1" si="55"/>
        <v>RS.AN-420</v>
      </c>
    </row>
    <row r="413" spans="1:8" ht="14" x14ac:dyDescent="0.3">
      <c r="A413" s="293">
        <v>490</v>
      </c>
      <c r="B413" s="293" t="s">
        <v>1236</v>
      </c>
      <c r="C413" s="294" t="s">
        <v>1197</v>
      </c>
      <c r="D413" s="294" t="s">
        <v>258</v>
      </c>
      <c r="E413" s="294">
        <v>2</v>
      </c>
      <c r="F413" s="250">
        <f ca="1">VLOOKUP($D413,Data!$C:$I,7,FALSE)</f>
        <v>0</v>
      </c>
      <c r="G413" s="296" t="str">
        <f t="shared" si="54"/>
        <v>RS.AN-42</v>
      </c>
      <c r="H413" s="296" t="str">
        <f t="shared" ca="1" si="55"/>
        <v>RS.AN-420</v>
      </c>
    </row>
    <row r="414" spans="1:8" ht="14" x14ac:dyDescent="0.3">
      <c r="A414" s="293">
        <v>491</v>
      </c>
      <c r="B414" s="293" t="s">
        <v>1237</v>
      </c>
      <c r="C414" s="294" t="s">
        <v>1049</v>
      </c>
      <c r="D414" s="294" t="s">
        <v>200</v>
      </c>
      <c r="E414" s="294">
        <v>1</v>
      </c>
      <c r="F414" s="250">
        <f ca="1">VLOOKUP($D414,Data!$C:$I,7,FALSE)</f>
        <v>0</v>
      </c>
      <c r="G414" s="296" t="str">
        <f t="shared" si="54"/>
        <v>RS.AN-51</v>
      </c>
      <c r="H414" s="296" t="str">
        <f t="shared" ca="1" si="55"/>
        <v>RS.AN-510</v>
      </c>
    </row>
    <row r="415" spans="1:8" ht="14" x14ac:dyDescent="0.3">
      <c r="A415" s="293">
        <v>492</v>
      </c>
      <c r="B415" s="293" t="s">
        <v>1237</v>
      </c>
      <c r="C415" s="294" t="s">
        <v>1050</v>
      </c>
      <c r="D415" s="294" t="s">
        <v>201</v>
      </c>
      <c r="E415" s="294">
        <v>1</v>
      </c>
      <c r="F415" s="250">
        <f ca="1">VLOOKUP($D415,Data!$C:$I,7,FALSE)</f>
        <v>0</v>
      </c>
      <c r="G415" s="296" t="str">
        <f t="shared" si="54"/>
        <v>RS.AN-51</v>
      </c>
      <c r="H415" s="296" t="str">
        <f t="shared" ca="1" si="55"/>
        <v>RS.AN-510</v>
      </c>
    </row>
    <row r="416" spans="1:8" ht="14" x14ac:dyDescent="0.3">
      <c r="A416" s="293">
        <v>493</v>
      </c>
      <c r="B416" s="293" t="s">
        <v>1237</v>
      </c>
      <c r="C416" s="294" t="s">
        <v>1129</v>
      </c>
      <c r="D416" s="294" t="s">
        <v>203</v>
      </c>
      <c r="E416" s="294">
        <v>1</v>
      </c>
      <c r="F416" s="250">
        <f ca="1">VLOOKUP($D416,Data!$C:$I,7,FALSE)</f>
        <v>0</v>
      </c>
      <c r="G416" s="296" t="str">
        <f t="shared" si="54"/>
        <v>RS.AN-51</v>
      </c>
      <c r="H416" s="296" t="str">
        <f t="shared" ca="1" si="55"/>
        <v>RS.AN-510</v>
      </c>
    </row>
    <row r="417" spans="1:8" ht="14" x14ac:dyDescent="0.3">
      <c r="A417" s="293">
        <v>494</v>
      </c>
      <c r="B417" s="293" t="s">
        <v>1237</v>
      </c>
      <c r="C417" s="294" t="s">
        <v>1051</v>
      </c>
      <c r="D417" s="294" t="s">
        <v>204</v>
      </c>
      <c r="E417" s="294">
        <v>2</v>
      </c>
      <c r="F417" s="250">
        <f ca="1">VLOOKUP($D417,Data!$C:$I,7,FALSE)</f>
        <v>0</v>
      </c>
      <c r="G417" s="296" t="str">
        <f t="shared" si="54"/>
        <v>RS.AN-52</v>
      </c>
      <c r="H417" s="296" t="str">
        <f t="shared" ca="1" si="55"/>
        <v>RS.AN-520</v>
      </c>
    </row>
    <row r="418" spans="1:8" ht="14" x14ac:dyDescent="0.3">
      <c r="A418" s="293">
        <v>495</v>
      </c>
      <c r="B418" s="293" t="s">
        <v>1237</v>
      </c>
      <c r="C418" s="294" t="s">
        <v>1052</v>
      </c>
      <c r="D418" s="294" t="s">
        <v>202</v>
      </c>
      <c r="E418" s="294">
        <v>1</v>
      </c>
      <c r="F418" s="250">
        <f ca="1">VLOOKUP($D418,Data!$C:$I,7,FALSE)</f>
        <v>0</v>
      </c>
      <c r="G418" s="296" t="str">
        <f t="shared" si="54"/>
        <v>RS.AN-51</v>
      </c>
      <c r="H418" s="296" t="str">
        <f t="shared" ca="1" si="55"/>
        <v>RS.AN-510</v>
      </c>
    </row>
    <row r="419" spans="1:8" ht="14" x14ac:dyDescent="0.3">
      <c r="A419" s="293">
        <v>496</v>
      </c>
      <c r="B419" s="293" t="s">
        <v>1237</v>
      </c>
      <c r="C419" s="294" t="s">
        <v>1053</v>
      </c>
      <c r="D419" s="294" t="s">
        <v>206</v>
      </c>
      <c r="E419" s="294">
        <v>2</v>
      </c>
      <c r="F419" s="250">
        <f ca="1">VLOOKUP($D419,Data!$C:$I,7,FALSE)</f>
        <v>0</v>
      </c>
      <c r="G419" s="296" t="str">
        <f t="shared" si="54"/>
        <v>RS.AN-52</v>
      </c>
      <c r="H419" s="296" t="str">
        <f t="shared" ca="1" si="55"/>
        <v>RS.AN-520</v>
      </c>
    </row>
    <row r="420" spans="1:8" ht="14" x14ac:dyDescent="0.3">
      <c r="A420" s="293">
        <v>498</v>
      </c>
      <c r="B420" s="293" t="s">
        <v>1237</v>
      </c>
      <c r="C420" s="294" t="s">
        <v>1238</v>
      </c>
      <c r="D420" s="294" t="s">
        <v>207</v>
      </c>
      <c r="E420" s="294">
        <v>2</v>
      </c>
      <c r="F420" s="250">
        <f ca="1">VLOOKUP($D420,Data!$C:$I,7,FALSE)</f>
        <v>0</v>
      </c>
      <c r="G420" s="296" t="str">
        <f t="shared" si="54"/>
        <v>RS.AN-52</v>
      </c>
      <c r="H420" s="296" t="str">
        <f t="shared" ca="1" si="55"/>
        <v>RS.AN-520</v>
      </c>
    </row>
    <row r="421" spans="1:8" ht="14" x14ac:dyDescent="0.3">
      <c r="A421" s="293">
        <v>499</v>
      </c>
      <c r="B421" s="293" t="s">
        <v>1237</v>
      </c>
      <c r="C421" s="294" t="s">
        <v>1055</v>
      </c>
      <c r="D421" s="294" t="s">
        <v>210</v>
      </c>
      <c r="E421" s="294">
        <v>3</v>
      </c>
      <c r="F421" s="250">
        <f ca="1">VLOOKUP($D421,Data!$C:$I,7,FALSE)</f>
        <v>0</v>
      </c>
      <c r="G421" s="296" t="str">
        <f t="shared" si="54"/>
        <v>RS.AN-53</v>
      </c>
      <c r="H421" s="296" t="str">
        <f t="shared" ca="1" si="55"/>
        <v>RS.AN-530</v>
      </c>
    </row>
    <row r="422" spans="1:8" ht="14" x14ac:dyDescent="0.3">
      <c r="A422" s="293">
        <v>501</v>
      </c>
      <c r="B422" s="293" t="s">
        <v>1237</v>
      </c>
      <c r="C422" s="294" t="s">
        <v>1056</v>
      </c>
      <c r="D422" s="294" t="s">
        <v>212</v>
      </c>
      <c r="E422" s="294">
        <v>3</v>
      </c>
      <c r="F422" s="250">
        <f ca="1">VLOOKUP($D422,Data!$C:$I,7,FALSE)</f>
        <v>0</v>
      </c>
      <c r="G422" s="296" t="str">
        <f t="shared" si="54"/>
        <v>RS.AN-53</v>
      </c>
      <c r="H422" s="296" t="str">
        <f t="shared" ca="1" si="55"/>
        <v>RS.AN-530</v>
      </c>
    </row>
    <row r="423" spans="1:8" ht="14" x14ac:dyDescent="0.3">
      <c r="A423" s="293">
        <v>504</v>
      </c>
      <c r="B423" s="293" t="s">
        <v>1237</v>
      </c>
      <c r="C423" s="294" t="s">
        <v>1141</v>
      </c>
      <c r="D423" s="294" t="s">
        <v>216</v>
      </c>
      <c r="E423" s="294">
        <v>3</v>
      </c>
      <c r="F423" s="250">
        <f ca="1">VLOOKUP($D423,Data!$C:$I,7,FALSE)</f>
        <v>0</v>
      </c>
      <c r="G423" s="296" t="str">
        <f t="shared" si="54"/>
        <v>RS.AN-53</v>
      </c>
      <c r="H423" s="296" t="str">
        <f t="shared" ca="1" si="55"/>
        <v>RS.AN-530</v>
      </c>
    </row>
    <row r="424" spans="1:8" ht="14" x14ac:dyDescent="0.3">
      <c r="A424" s="293">
        <v>505</v>
      </c>
      <c r="B424" s="293" t="s">
        <v>1239</v>
      </c>
      <c r="C424" s="294" t="s">
        <v>1240</v>
      </c>
      <c r="D424" s="294" t="s">
        <v>272</v>
      </c>
      <c r="E424" s="294">
        <v>1</v>
      </c>
      <c r="F424" s="250">
        <f ca="1">VLOOKUP($D424,Data!$C:$I,7,FALSE)</f>
        <v>0</v>
      </c>
      <c r="G424" s="296" t="str">
        <f t="shared" si="54"/>
        <v>RS.MI-11</v>
      </c>
      <c r="H424" s="296" t="str">
        <f t="shared" ca="1" si="55"/>
        <v>RS.MI-110</v>
      </c>
    </row>
    <row r="425" spans="1:8" ht="14" x14ac:dyDescent="0.3">
      <c r="A425" s="293">
        <v>506</v>
      </c>
      <c r="B425" s="293" t="s">
        <v>1241</v>
      </c>
      <c r="C425" s="294" t="s">
        <v>1240</v>
      </c>
      <c r="D425" s="294" t="s">
        <v>272</v>
      </c>
      <c r="E425" s="294">
        <v>1</v>
      </c>
      <c r="F425" s="250">
        <f ca="1">VLOOKUP($D425,Data!$C:$I,7,FALSE)</f>
        <v>0</v>
      </c>
      <c r="G425" s="296" t="str">
        <f t="shared" si="54"/>
        <v>RS.MI-21</v>
      </c>
      <c r="H425" s="296" t="str">
        <f t="shared" ca="1" si="55"/>
        <v>RS.MI-210</v>
      </c>
    </row>
    <row r="426" spans="1:8" ht="14" x14ac:dyDescent="0.3">
      <c r="A426" s="293">
        <v>507</v>
      </c>
      <c r="B426" s="293" t="s">
        <v>1242</v>
      </c>
      <c r="C426" s="294" t="s">
        <v>1129</v>
      </c>
      <c r="D426" s="294" t="s">
        <v>203</v>
      </c>
      <c r="E426" s="294">
        <v>1</v>
      </c>
      <c r="F426" s="250">
        <f ca="1">VLOOKUP($D426,Data!$C:$I,7,FALSE)</f>
        <v>0</v>
      </c>
      <c r="G426" s="296" t="str">
        <f t="shared" si="54"/>
        <v>RS.MI-31</v>
      </c>
      <c r="H426" s="296" t="str">
        <f t="shared" ca="1" si="55"/>
        <v>RS.MI-310</v>
      </c>
    </row>
    <row r="427" spans="1:8" ht="14" x14ac:dyDescent="0.3">
      <c r="A427" s="293">
        <v>508</v>
      </c>
      <c r="B427" s="293" t="s">
        <v>1242</v>
      </c>
      <c r="C427" s="294" t="s">
        <v>1053</v>
      </c>
      <c r="D427" s="294" t="s">
        <v>206</v>
      </c>
      <c r="E427" s="294">
        <v>2</v>
      </c>
      <c r="F427" s="250">
        <f ca="1">VLOOKUP($D427,Data!$C:$I,7,FALSE)</f>
        <v>0</v>
      </c>
      <c r="G427" s="296" t="str">
        <f t="shared" si="54"/>
        <v>RS.MI-32</v>
      </c>
      <c r="H427" s="296" t="str">
        <f t="shared" ca="1" si="55"/>
        <v>RS.MI-320</v>
      </c>
    </row>
    <row r="428" spans="1:8" ht="14" x14ac:dyDescent="0.3">
      <c r="A428" s="293">
        <v>510</v>
      </c>
      <c r="B428" s="293" t="s">
        <v>1242</v>
      </c>
      <c r="C428" s="294" t="s">
        <v>1054</v>
      </c>
      <c r="D428" s="294" t="s">
        <v>48</v>
      </c>
      <c r="E428" s="294">
        <v>2</v>
      </c>
      <c r="F428" s="250">
        <f ca="1">VLOOKUP($D428,Data!$C:$I,7,FALSE)</f>
        <v>0</v>
      </c>
      <c r="G428" s="296" t="str">
        <f t="shared" si="54"/>
        <v>RS.MI-32</v>
      </c>
      <c r="H428" s="296" t="str">
        <f t="shared" ca="1" si="55"/>
        <v>RS.MI-320</v>
      </c>
    </row>
    <row r="429" spans="1:8" ht="14" x14ac:dyDescent="0.3">
      <c r="A429" s="293">
        <v>510</v>
      </c>
      <c r="B429" s="293" t="s">
        <v>1242</v>
      </c>
      <c r="C429" s="294" t="s">
        <v>1054</v>
      </c>
      <c r="D429" s="294" t="s">
        <v>61</v>
      </c>
      <c r="E429" s="295">
        <v>3</v>
      </c>
      <c r="F429" s="250">
        <f ca="1">VLOOKUP($D429,Data!$C:$I,7,FALSE)</f>
        <v>0</v>
      </c>
      <c r="G429" s="296" t="str">
        <f t="shared" si="54"/>
        <v>RS.MI-33</v>
      </c>
      <c r="H429" s="296" t="str">
        <f t="shared" ca="1" si="55"/>
        <v>RS.MI-330</v>
      </c>
    </row>
    <row r="430" spans="1:8" ht="14" x14ac:dyDescent="0.3">
      <c r="A430" s="293">
        <v>512</v>
      </c>
      <c r="B430" s="293" t="s">
        <v>1242</v>
      </c>
      <c r="C430" s="294" t="s">
        <v>1141</v>
      </c>
      <c r="D430" s="294" t="s">
        <v>216</v>
      </c>
      <c r="E430" s="294">
        <v>3</v>
      </c>
      <c r="F430" s="250">
        <f ca="1">VLOOKUP($D430,Data!$C:$I,7,FALSE)</f>
        <v>0</v>
      </c>
      <c r="G430" s="296" t="str">
        <f t="shared" si="54"/>
        <v>RS.MI-33</v>
      </c>
      <c r="H430" s="296" t="str">
        <f t="shared" ca="1" si="55"/>
        <v>RS.MI-330</v>
      </c>
    </row>
    <row r="431" spans="1:8" ht="14" x14ac:dyDescent="0.3">
      <c r="A431" s="293">
        <v>513</v>
      </c>
      <c r="B431" s="293" t="s">
        <v>1243</v>
      </c>
      <c r="C431" s="294" t="s">
        <v>1195</v>
      </c>
      <c r="D431" s="294" t="s">
        <v>277</v>
      </c>
      <c r="E431" s="294">
        <v>3</v>
      </c>
      <c r="F431" s="250">
        <f ca="1">VLOOKUP($D431,Data!$C:$I,7,FALSE)</f>
        <v>0</v>
      </c>
      <c r="G431" s="296" t="str">
        <f t="shared" si="54"/>
        <v>RS.IM-13</v>
      </c>
      <c r="H431" s="296" t="str">
        <f t="shared" ca="1" si="55"/>
        <v>RS.IM-130</v>
      </c>
    </row>
    <row r="432" spans="1:8" ht="14" x14ac:dyDescent="0.3">
      <c r="A432" s="293">
        <v>514</v>
      </c>
      <c r="B432" s="293" t="s">
        <v>1244</v>
      </c>
      <c r="C432" s="294" t="s">
        <v>1195</v>
      </c>
      <c r="D432" s="294" t="s">
        <v>277</v>
      </c>
      <c r="E432" s="294">
        <v>3</v>
      </c>
      <c r="F432" s="250">
        <f ca="1">VLOOKUP($D432,Data!$C:$I,7,FALSE)</f>
        <v>0</v>
      </c>
      <c r="G432" s="296" t="str">
        <f t="shared" si="54"/>
        <v>RS.IM-23</v>
      </c>
      <c r="H432" s="296" t="str">
        <f t="shared" ca="1" si="55"/>
        <v>RS.IM-230</v>
      </c>
    </row>
    <row r="433" spans="1:8" ht="14" x14ac:dyDescent="0.3">
      <c r="A433" s="293">
        <v>516</v>
      </c>
      <c r="B433" s="293" t="s">
        <v>1245</v>
      </c>
      <c r="C433" s="294" t="s">
        <v>1240</v>
      </c>
      <c r="D433" s="294" t="s">
        <v>272</v>
      </c>
      <c r="E433" s="294">
        <v>1</v>
      </c>
      <c r="F433" s="250">
        <f ca="1">VLOOKUP($D433,Data!$C:$I,7,FALSE)</f>
        <v>0</v>
      </c>
      <c r="G433" s="296" t="str">
        <f t="shared" si="54"/>
        <v>RC.RP-11</v>
      </c>
      <c r="H433" s="296" t="str">
        <f t="shared" ca="1" si="55"/>
        <v>RC.RP-110</v>
      </c>
    </row>
    <row r="434" spans="1:8" ht="14" x14ac:dyDescent="0.3">
      <c r="A434" s="293">
        <v>517</v>
      </c>
      <c r="B434" s="293" t="s">
        <v>1245</v>
      </c>
      <c r="C434" s="294" t="s">
        <v>1225</v>
      </c>
      <c r="D434" s="294" t="s">
        <v>274</v>
      </c>
      <c r="E434" s="294">
        <v>2</v>
      </c>
      <c r="F434" s="250">
        <f ca="1">VLOOKUP($D434,Data!$C:$I,7,FALSE)</f>
        <v>0</v>
      </c>
      <c r="G434" s="296" t="str">
        <f t="shared" si="54"/>
        <v>RC.RP-12</v>
      </c>
      <c r="H434" s="296" t="str">
        <f t="shared" ca="1" si="55"/>
        <v>RC.RP-120</v>
      </c>
    </row>
    <row r="435" spans="1:8" ht="14" x14ac:dyDescent="0.3">
      <c r="A435" s="293">
        <v>520</v>
      </c>
      <c r="B435" s="293" t="s">
        <v>1246</v>
      </c>
      <c r="C435" s="294" t="s">
        <v>1195</v>
      </c>
      <c r="D435" s="294" t="s">
        <v>277</v>
      </c>
      <c r="E435" s="294">
        <v>3</v>
      </c>
      <c r="F435" s="250">
        <f ca="1">VLOOKUP($D435,Data!$C:$I,7,FALSE)</f>
        <v>0</v>
      </c>
      <c r="G435" s="296" t="str">
        <f t="shared" si="54"/>
        <v>RC.IM-13</v>
      </c>
      <c r="H435" s="296" t="str">
        <f t="shared" ca="1" si="55"/>
        <v>RC.IM-130</v>
      </c>
    </row>
    <row r="436" spans="1:8" ht="14" x14ac:dyDescent="0.3">
      <c r="A436" s="293">
        <v>521</v>
      </c>
      <c r="B436" s="293" t="s">
        <v>1246</v>
      </c>
      <c r="C436" s="294" t="s">
        <v>1165</v>
      </c>
      <c r="D436" s="294" t="s">
        <v>413</v>
      </c>
      <c r="E436" s="294">
        <v>3</v>
      </c>
      <c r="F436" s="250">
        <f ca="1">VLOOKUP($D436,Data!$C:$I,7,FALSE)</f>
        <v>0</v>
      </c>
      <c r="G436" s="296" t="str">
        <f t="shared" si="54"/>
        <v>RC.IM-13</v>
      </c>
      <c r="H436" s="296" t="str">
        <f t="shared" ca="1" si="55"/>
        <v>RC.IM-130</v>
      </c>
    </row>
    <row r="437" spans="1:8" ht="14" x14ac:dyDescent="0.3">
      <c r="A437" s="293">
        <v>523</v>
      </c>
      <c r="B437" s="293" t="s">
        <v>1247</v>
      </c>
      <c r="C437" s="294" t="s">
        <v>1195</v>
      </c>
      <c r="D437" s="294" t="s">
        <v>277</v>
      </c>
      <c r="E437" s="294">
        <v>3</v>
      </c>
      <c r="F437" s="250">
        <f ca="1">VLOOKUP($D437,Data!$C:$I,7,FALSE)</f>
        <v>0</v>
      </c>
      <c r="G437" s="296" t="str">
        <f t="shared" si="54"/>
        <v>RC.IM-23</v>
      </c>
      <c r="H437" s="296" t="str">
        <f t="shared" ca="1" si="55"/>
        <v>RC.IM-230</v>
      </c>
    </row>
    <row r="438" spans="1:8" ht="14" x14ac:dyDescent="0.3">
      <c r="A438" s="293">
        <v>525</v>
      </c>
      <c r="B438" s="293" t="s">
        <v>1248</v>
      </c>
      <c r="C438" s="294" t="s">
        <v>968</v>
      </c>
      <c r="D438" s="294" t="s">
        <v>196</v>
      </c>
      <c r="E438" s="294">
        <v>3</v>
      </c>
      <c r="F438" s="250">
        <f ca="1">VLOOKUP($D438,Data!$C:$I,7,FALSE)</f>
        <v>0</v>
      </c>
      <c r="G438" s="296" t="str">
        <f t="shared" si="54"/>
        <v>RC.CO-13</v>
      </c>
      <c r="H438" s="296" t="str">
        <f t="shared" ca="1" si="55"/>
        <v>RC.CO-130</v>
      </c>
    </row>
    <row r="439" spans="1:8" ht="14" x14ac:dyDescent="0.3">
      <c r="A439" s="293">
        <v>526</v>
      </c>
      <c r="B439" s="293" t="s">
        <v>1249</v>
      </c>
      <c r="C439" s="294" t="s">
        <v>1225</v>
      </c>
      <c r="D439" s="294" t="s">
        <v>274</v>
      </c>
      <c r="E439" s="294">
        <v>2</v>
      </c>
      <c r="F439" s="250">
        <f ca="1">VLOOKUP($D439,Data!$C:$I,7,FALSE)</f>
        <v>0</v>
      </c>
      <c r="G439" s="296" t="str">
        <f t="shared" si="54"/>
        <v>RC.CO-22</v>
      </c>
      <c r="H439" s="296" t="str">
        <f t="shared" ca="1" si="55"/>
        <v>RC.CO-220</v>
      </c>
    </row>
    <row r="440" spans="1:8" ht="14" x14ac:dyDescent="0.3">
      <c r="A440" s="293">
        <v>527</v>
      </c>
      <c r="B440" s="293" t="s">
        <v>1250</v>
      </c>
      <c r="C440" s="294" t="s">
        <v>1225</v>
      </c>
      <c r="D440" s="294" t="s">
        <v>274</v>
      </c>
      <c r="E440" s="294">
        <v>2</v>
      </c>
      <c r="F440" s="250">
        <f ca="1">VLOOKUP($D440,Data!$C:$I,7,FALSE)</f>
        <v>0</v>
      </c>
      <c r="G440" s="296" t="str">
        <f t="shared" si="54"/>
        <v>RC.CO-32</v>
      </c>
      <c r="H440" s="296" t="str">
        <f t="shared" ca="1" si="55"/>
        <v>RC.CO-320</v>
      </c>
    </row>
    <row r="441" spans="1:8" ht="14" x14ac:dyDescent="0.3">
      <c r="A441" s="293">
        <v>528</v>
      </c>
      <c r="B441" s="295" t="s">
        <v>1068</v>
      </c>
      <c r="C441" s="293" t="e">
        <v>#N/A</v>
      </c>
      <c r="D441" s="295" t="s">
        <v>67</v>
      </c>
      <c r="E441" s="293">
        <v>3</v>
      </c>
      <c r="F441" s="250">
        <f ca="1">VLOOKUP($D441,Data!$C:$I,7,FALSE)</f>
        <v>0</v>
      </c>
      <c r="G441" s="296" t="str">
        <f t="shared" si="54"/>
        <v>ID.RM-13</v>
      </c>
      <c r="H441" s="296" t="str">
        <f t="shared" ca="1" si="55"/>
        <v>ID.RM-130</v>
      </c>
    </row>
    <row r="442" spans="1:8" ht="14" x14ac:dyDescent="0.3">
      <c r="A442" s="293">
        <v>529</v>
      </c>
      <c r="B442" s="293" t="s">
        <v>1066</v>
      </c>
      <c r="C442" s="293" t="e">
        <v>#N/A</v>
      </c>
      <c r="D442" s="295" t="s">
        <v>67</v>
      </c>
      <c r="E442" s="293">
        <v>3</v>
      </c>
      <c r="F442" s="250">
        <f ca="1">VLOOKUP($D442,Data!$C:$I,7,FALSE)</f>
        <v>0</v>
      </c>
      <c r="G442" s="296" t="str">
        <f t="shared" si="54"/>
        <v>ID.RA-63</v>
      </c>
      <c r="H442" s="296" t="str">
        <f t="shared" ca="1" si="55"/>
        <v>ID.RA-630</v>
      </c>
    </row>
    <row r="443" spans="1:8" ht="14" x14ac:dyDescent="0.3">
      <c r="A443" s="293">
        <v>530</v>
      </c>
      <c r="B443" s="295" t="s">
        <v>1068</v>
      </c>
      <c r="C443" s="293" t="e">
        <v>#N/A</v>
      </c>
      <c r="D443" s="295" t="s">
        <v>90</v>
      </c>
      <c r="E443" s="293">
        <v>3</v>
      </c>
      <c r="F443" s="250">
        <f ca="1">VLOOKUP($D443,Data!$C:$I,7,FALSE)</f>
        <v>0</v>
      </c>
      <c r="G443" s="296" t="str">
        <f t="shared" si="54"/>
        <v>ID.RM-13</v>
      </c>
      <c r="H443" s="296" t="str">
        <f t="shared" ca="1" si="55"/>
        <v>ID.RM-130</v>
      </c>
    </row>
    <row r="444" spans="1:8" ht="14" x14ac:dyDescent="0.3">
      <c r="A444" s="293">
        <v>531</v>
      </c>
      <c r="B444" s="295" t="s">
        <v>984</v>
      </c>
      <c r="C444" s="293" t="e">
        <v>#N/A</v>
      </c>
      <c r="D444" s="295" t="s">
        <v>101</v>
      </c>
      <c r="E444" s="293">
        <v>3</v>
      </c>
      <c r="F444" s="250">
        <f ca="1">VLOOKUP($D444,Data!$C:$I,7,FALSE)</f>
        <v>0</v>
      </c>
      <c r="G444" s="296" t="str">
        <f t="shared" si="54"/>
        <v>ID.BE-43</v>
      </c>
      <c r="H444" s="296" t="str">
        <f t="shared" ca="1" si="55"/>
        <v>ID.BE-430</v>
      </c>
    </row>
    <row r="445" spans="1:8" ht="14" x14ac:dyDescent="0.3">
      <c r="A445" s="293">
        <v>532</v>
      </c>
      <c r="B445" s="293" t="s">
        <v>1065</v>
      </c>
      <c r="C445" s="293" t="e">
        <v>#N/A</v>
      </c>
      <c r="D445" s="295" t="s">
        <v>101</v>
      </c>
      <c r="E445" s="293">
        <v>3</v>
      </c>
      <c r="F445" s="250">
        <f ca="1">VLOOKUP($D445,Data!$C:$I,7,FALSE)</f>
        <v>0</v>
      </c>
      <c r="G445" s="296" t="str">
        <f t="shared" si="54"/>
        <v>ID.RA-53</v>
      </c>
      <c r="H445" s="296" t="str">
        <f t="shared" ca="1" si="55"/>
        <v>ID.RA-530</v>
      </c>
    </row>
    <row r="446" spans="1:8" ht="14" x14ac:dyDescent="0.3">
      <c r="A446" s="293">
        <v>533</v>
      </c>
      <c r="B446" s="295" t="s">
        <v>1011</v>
      </c>
      <c r="C446" s="293" t="e">
        <v>#N/A</v>
      </c>
      <c r="D446" s="295" t="s">
        <v>104</v>
      </c>
      <c r="E446" s="293">
        <v>2</v>
      </c>
      <c r="F446" s="250">
        <f ca="1">VLOOKUP($D446,Data!$C:$I,7,FALSE)</f>
        <v>0</v>
      </c>
      <c r="G446" s="296" t="str">
        <f t="shared" si="54"/>
        <v>ID.AM-32</v>
      </c>
      <c r="H446" s="296" t="str">
        <f t="shared" ca="1" si="55"/>
        <v>ID.AM-320</v>
      </c>
    </row>
    <row r="447" spans="1:8" ht="14" x14ac:dyDescent="0.3">
      <c r="A447" s="293">
        <v>534</v>
      </c>
      <c r="B447" s="293" t="s">
        <v>983</v>
      </c>
      <c r="C447" s="293" t="e">
        <v>#N/A</v>
      </c>
      <c r="D447" s="295" t="s">
        <v>104</v>
      </c>
      <c r="E447" s="293">
        <v>2</v>
      </c>
      <c r="F447" s="250">
        <f ca="1">VLOOKUP($D447,Data!$C:$I,7,FALSE)</f>
        <v>0</v>
      </c>
      <c r="G447" s="296" t="str">
        <f t="shared" si="54"/>
        <v>ID.AM-52</v>
      </c>
      <c r="H447" s="296" t="str">
        <f t="shared" ca="1" si="55"/>
        <v>ID.AM-520</v>
      </c>
    </row>
    <row r="448" spans="1:8" ht="14" x14ac:dyDescent="0.3">
      <c r="A448" s="293">
        <v>535</v>
      </c>
      <c r="B448" s="293" t="s">
        <v>984</v>
      </c>
      <c r="C448" s="293" t="e">
        <v>#N/A</v>
      </c>
      <c r="D448" s="295" t="s">
        <v>104</v>
      </c>
      <c r="E448" s="293">
        <v>2</v>
      </c>
      <c r="F448" s="250">
        <f ca="1">VLOOKUP($D448,Data!$C:$I,7,FALSE)</f>
        <v>0</v>
      </c>
      <c r="G448" s="296" t="str">
        <f t="shared" si="54"/>
        <v>ID.BE-42</v>
      </c>
      <c r="H448" s="296" t="str">
        <f t="shared" ca="1" si="55"/>
        <v>ID.BE-420</v>
      </c>
    </row>
    <row r="449" spans="1:8" ht="14" x14ac:dyDescent="0.3">
      <c r="A449" s="293">
        <v>536</v>
      </c>
      <c r="B449" s="293" t="s">
        <v>1157</v>
      </c>
      <c r="C449" s="293" t="e">
        <v>#N/A</v>
      </c>
      <c r="D449" s="295" t="s">
        <v>104</v>
      </c>
      <c r="E449" s="293">
        <v>2</v>
      </c>
      <c r="F449" s="250">
        <f ca="1">VLOOKUP($D449,Data!$C:$I,7,FALSE)</f>
        <v>0</v>
      </c>
      <c r="G449" s="296" t="str">
        <f t="shared" si="54"/>
        <v>PR.IP-42</v>
      </c>
      <c r="H449" s="296" t="str">
        <f t="shared" ca="1" si="55"/>
        <v>PR.IP-420</v>
      </c>
    </row>
    <row r="450" spans="1:8" ht="14" x14ac:dyDescent="0.3">
      <c r="A450" s="293">
        <v>537</v>
      </c>
      <c r="B450" s="295" t="s">
        <v>983</v>
      </c>
      <c r="C450" s="293" t="e">
        <v>#N/A</v>
      </c>
      <c r="D450" s="295" t="s">
        <v>106</v>
      </c>
      <c r="E450" s="293">
        <v>2</v>
      </c>
      <c r="F450" s="250">
        <f ca="1">VLOOKUP($D450,Data!$C:$I,7,FALSE)</f>
        <v>0</v>
      </c>
      <c r="G450" s="296" t="str">
        <f t="shared" ref="G450:G513" si="56">CONCATENATE($B450,$E450)</f>
        <v>ID.AM-52</v>
      </c>
      <c r="H450" s="296" t="str">
        <f t="shared" ref="H450:H513" ca="1" si="57">_xlfn.IFNA(CONCATENATE($B450,$E450,$F450),CONCATENATE($B450,$E450,0))</f>
        <v>ID.AM-520</v>
      </c>
    </row>
    <row r="451" spans="1:8" ht="14" x14ac:dyDescent="0.3">
      <c r="A451" s="293">
        <v>538</v>
      </c>
      <c r="B451" s="295" t="s">
        <v>984</v>
      </c>
      <c r="C451" s="293" t="e">
        <v>#N/A</v>
      </c>
      <c r="D451" s="295" t="s">
        <v>106</v>
      </c>
      <c r="E451" s="293">
        <v>2</v>
      </c>
      <c r="F451" s="250">
        <f ca="1">VLOOKUP($D451,Data!$C:$I,7,FALSE)</f>
        <v>0</v>
      </c>
      <c r="G451" s="296" t="str">
        <f t="shared" si="56"/>
        <v>ID.BE-42</v>
      </c>
      <c r="H451" s="296" t="str">
        <f t="shared" ca="1" si="57"/>
        <v>ID.BE-420</v>
      </c>
    </row>
    <row r="452" spans="1:8" ht="14" x14ac:dyDescent="0.3">
      <c r="A452" s="293">
        <v>539</v>
      </c>
      <c r="B452" s="293" t="s">
        <v>1157</v>
      </c>
      <c r="C452" s="293" t="e">
        <v>#N/A</v>
      </c>
      <c r="D452" s="295" t="s">
        <v>106</v>
      </c>
      <c r="E452" s="293">
        <v>2</v>
      </c>
      <c r="F452" s="250">
        <f ca="1">VLOOKUP($D452,Data!$C:$I,7,FALSE)</f>
        <v>0</v>
      </c>
      <c r="G452" s="296" t="str">
        <f t="shared" si="56"/>
        <v>PR.IP-42</v>
      </c>
      <c r="H452" s="296" t="str">
        <f t="shared" ca="1" si="57"/>
        <v>PR.IP-420</v>
      </c>
    </row>
    <row r="453" spans="1:8" ht="14" x14ac:dyDescent="0.3">
      <c r="A453" s="293">
        <v>540</v>
      </c>
      <c r="B453" s="295" t="s">
        <v>1011</v>
      </c>
      <c r="C453" s="293" t="e">
        <v>#N/A</v>
      </c>
      <c r="D453" s="295" t="s">
        <v>108</v>
      </c>
      <c r="E453" s="293">
        <v>3</v>
      </c>
      <c r="F453" s="250">
        <f ca="1">VLOOKUP($D453,Data!$C:$I,7,FALSE)</f>
        <v>0</v>
      </c>
      <c r="G453" s="296" t="str">
        <f t="shared" si="56"/>
        <v>ID.AM-33</v>
      </c>
      <c r="H453" s="296" t="str">
        <f t="shared" ca="1" si="57"/>
        <v>ID.AM-330</v>
      </c>
    </row>
    <row r="454" spans="1:8" ht="14" x14ac:dyDescent="0.3">
      <c r="A454" s="293">
        <v>541</v>
      </c>
      <c r="B454" s="293" t="s">
        <v>983</v>
      </c>
      <c r="C454" s="293" t="e">
        <v>#N/A</v>
      </c>
      <c r="D454" s="295" t="s">
        <v>108</v>
      </c>
      <c r="E454" s="293">
        <v>3</v>
      </c>
      <c r="F454" s="250">
        <f ca="1">VLOOKUP($D454,Data!$C:$I,7,FALSE)</f>
        <v>0</v>
      </c>
      <c r="G454" s="296" t="str">
        <f t="shared" si="56"/>
        <v>ID.AM-53</v>
      </c>
      <c r="H454" s="296" t="str">
        <f t="shared" ca="1" si="57"/>
        <v>ID.AM-530</v>
      </c>
    </row>
    <row r="455" spans="1:8" ht="14" x14ac:dyDescent="0.3">
      <c r="A455" s="293">
        <v>542</v>
      </c>
      <c r="B455" s="293" t="s">
        <v>984</v>
      </c>
      <c r="C455" s="293" t="e">
        <v>#N/A</v>
      </c>
      <c r="D455" s="295" t="s">
        <v>108</v>
      </c>
      <c r="E455" s="293">
        <v>3</v>
      </c>
      <c r="F455" s="250">
        <f ca="1">VLOOKUP($D455,Data!$C:$I,7,FALSE)</f>
        <v>0</v>
      </c>
      <c r="G455" s="296" t="str">
        <f t="shared" si="56"/>
        <v>ID.BE-43</v>
      </c>
      <c r="H455" s="296" t="str">
        <f t="shared" ca="1" si="57"/>
        <v>ID.BE-430</v>
      </c>
    </row>
    <row r="456" spans="1:8" ht="14" x14ac:dyDescent="0.3">
      <c r="A456" s="293">
        <v>543</v>
      </c>
      <c r="B456" s="293" t="s">
        <v>1157</v>
      </c>
      <c r="C456" s="293" t="e">
        <v>#N/A</v>
      </c>
      <c r="D456" s="295" t="s">
        <v>108</v>
      </c>
      <c r="E456" s="293">
        <v>3</v>
      </c>
      <c r="F456" s="250">
        <f ca="1">VLOOKUP($D456,Data!$C:$I,7,FALSE)</f>
        <v>0</v>
      </c>
      <c r="G456" s="296" t="str">
        <f t="shared" si="56"/>
        <v>PR.IP-43</v>
      </c>
      <c r="H456" s="296" t="str">
        <f t="shared" ca="1" si="57"/>
        <v>PR.IP-430</v>
      </c>
    </row>
    <row r="457" spans="1:8" ht="14" x14ac:dyDescent="0.3">
      <c r="A457" s="293">
        <v>544</v>
      </c>
      <c r="B457" s="295" t="s">
        <v>1011</v>
      </c>
      <c r="C457" s="293" t="e">
        <v>#N/A</v>
      </c>
      <c r="D457" s="295" t="s">
        <v>110</v>
      </c>
      <c r="E457" s="293">
        <v>3</v>
      </c>
      <c r="F457" s="250">
        <f ca="1">VLOOKUP($D457,Data!$C:$I,7,FALSE)</f>
        <v>0</v>
      </c>
      <c r="G457" s="296" t="str">
        <f t="shared" si="56"/>
        <v>ID.AM-33</v>
      </c>
      <c r="H457" s="296" t="str">
        <f t="shared" ca="1" si="57"/>
        <v>ID.AM-330</v>
      </c>
    </row>
    <row r="458" spans="1:8" ht="14" x14ac:dyDescent="0.3">
      <c r="A458" s="293">
        <v>545</v>
      </c>
      <c r="B458" s="293" t="s">
        <v>984</v>
      </c>
      <c r="C458" s="293" t="e">
        <v>#N/A</v>
      </c>
      <c r="D458" s="295" t="s">
        <v>110</v>
      </c>
      <c r="E458" s="293">
        <v>3</v>
      </c>
      <c r="F458" s="250">
        <f ca="1">VLOOKUP($D458,Data!$C:$I,7,FALSE)</f>
        <v>0</v>
      </c>
      <c r="G458" s="296" t="str">
        <f t="shared" si="56"/>
        <v>ID.BE-43</v>
      </c>
      <c r="H458" s="296" t="str">
        <f t="shared" ca="1" si="57"/>
        <v>ID.BE-430</v>
      </c>
    </row>
    <row r="459" spans="1:8" ht="14" x14ac:dyDescent="0.3">
      <c r="A459" s="293">
        <v>546</v>
      </c>
      <c r="B459" s="293" t="s">
        <v>1157</v>
      </c>
      <c r="C459" s="293" t="e">
        <v>#N/A</v>
      </c>
      <c r="D459" s="295" t="s">
        <v>110</v>
      </c>
      <c r="E459" s="293">
        <v>3</v>
      </c>
      <c r="F459" s="250">
        <f ca="1">VLOOKUP($D459,Data!$C:$I,7,FALSE)</f>
        <v>0</v>
      </c>
      <c r="G459" s="296" t="str">
        <f t="shared" si="56"/>
        <v>PR.IP-43</v>
      </c>
      <c r="H459" s="296" t="str">
        <f t="shared" ca="1" si="57"/>
        <v>PR.IP-430</v>
      </c>
    </row>
    <row r="460" spans="1:8" ht="14" x14ac:dyDescent="0.3">
      <c r="A460" s="293">
        <v>547</v>
      </c>
      <c r="B460" s="295" t="s">
        <v>984</v>
      </c>
      <c r="C460" s="293" t="e">
        <v>#N/A</v>
      </c>
      <c r="D460" s="295" t="s">
        <v>111</v>
      </c>
      <c r="E460" s="293">
        <v>3</v>
      </c>
      <c r="F460" s="250">
        <f ca="1">VLOOKUP($D460,Data!$C:$I,7,FALSE)</f>
        <v>0</v>
      </c>
      <c r="G460" s="296" t="str">
        <f t="shared" si="56"/>
        <v>ID.BE-43</v>
      </c>
      <c r="H460" s="296" t="str">
        <f t="shared" ca="1" si="57"/>
        <v>ID.BE-430</v>
      </c>
    </row>
    <row r="461" spans="1:8" ht="14" x14ac:dyDescent="0.3">
      <c r="A461" s="293">
        <v>548</v>
      </c>
      <c r="B461" s="293" t="s">
        <v>1065</v>
      </c>
      <c r="C461" s="293" t="e">
        <v>#N/A</v>
      </c>
      <c r="D461" s="295" t="s">
        <v>111</v>
      </c>
      <c r="E461" s="293">
        <v>3</v>
      </c>
      <c r="F461" s="250">
        <f ca="1">VLOOKUP($D461,Data!$C:$I,7,FALSE)</f>
        <v>0</v>
      </c>
      <c r="G461" s="296" t="str">
        <f t="shared" si="56"/>
        <v>ID.RA-53</v>
      </c>
      <c r="H461" s="296" t="str">
        <f t="shared" ca="1" si="57"/>
        <v>ID.RA-530</v>
      </c>
    </row>
    <row r="462" spans="1:8" ht="14" x14ac:dyDescent="0.3">
      <c r="A462" s="293">
        <v>549</v>
      </c>
      <c r="B462" s="295" t="s">
        <v>1152</v>
      </c>
      <c r="C462" s="293" t="e">
        <v>#N/A</v>
      </c>
      <c r="D462" s="295" t="s">
        <v>123</v>
      </c>
      <c r="E462" s="293">
        <v>3</v>
      </c>
      <c r="F462" s="250">
        <f ca="1">VLOOKUP($D462,Data!$C:$I,7,FALSE)</f>
        <v>0</v>
      </c>
      <c r="G462" s="296" t="str">
        <f t="shared" si="56"/>
        <v>PR.IP-13</v>
      </c>
      <c r="H462" s="296" t="str">
        <f t="shared" ca="1" si="57"/>
        <v>PR.IP-130</v>
      </c>
    </row>
    <row r="463" spans="1:8" ht="14" x14ac:dyDescent="0.3">
      <c r="A463" s="293">
        <v>550</v>
      </c>
      <c r="B463" s="295" t="s">
        <v>995</v>
      </c>
      <c r="C463" s="293" t="e">
        <v>#N/A</v>
      </c>
      <c r="D463" s="295" t="s">
        <v>153</v>
      </c>
      <c r="E463" s="293">
        <v>3</v>
      </c>
      <c r="F463" s="250">
        <f ca="1">VLOOKUP($D463,Data!$C:$I,7,FALSE)</f>
        <v>0</v>
      </c>
      <c r="G463" s="296" t="str">
        <f t="shared" si="56"/>
        <v>PR.IP-53</v>
      </c>
      <c r="H463" s="296" t="str">
        <f t="shared" ca="1" si="57"/>
        <v>PR.IP-530</v>
      </c>
    </row>
    <row r="464" spans="1:8" ht="14" x14ac:dyDescent="0.3">
      <c r="A464" s="293">
        <v>551</v>
      </c>
      <c r="B464" s="295" t="s">
        <v>988</v>
      </c>
      <c r="C464" s="293" t="e">
        <v>#N/A</v>
      </c>
      <c r="D464" s="295" t="s">
        <v>158</v>
      </c>
      <c r="E464" s="293">
        <v>3</v>
      </c>
      <c r="F464" s="250">
        <f ca="1">VLOOKUP($D464,Data!$C:$I,7,FALSE)</f>
        <v>0</v>
      </c>
      <c r="G464" s="296" t="str">
        <f t="shared" si="56"/>
        <v>ID.SC-33</v>
      </c>
      <c r="H464" s="296" t="str">
        <f t="shared" ca="1" si="57"/>
        <v>ID.SC-330</v>
      </c>
    </row>
    <row r="465" spans="1:8" ht="14" x14ac:dyDescent="0.3">
      <c r="A465" s="293">
        <v>552</v>
      </c>
      <c r="B465" s="295" t="s">
        <v>1220</v>
      </c>
      <c r="C465" s="293" t="e">
        <v>#N/A</v>
      </c>
      <c r="D465" s="295" t="s">
        <v>194</v>
      </c>
      <c r="E465" s="293">
        <v>3</v>
      </c>
      <c r="F465" s="250">
        <f ca="1">VLOOKUP($D465,Data!$C:$I,7,FALSE)</f>
        <v>0</v>
      </c>
      <c r="G465" s="296" t="str">
        <f t="shared" si="56"/>
        <v>DE.DP-43</v>
      </c>
      <c r="H465" s="296" t="str">
        <f t="shared" ca="1" si="57"/>
        <v>DE.DP-430</v>
      </c>
    </row>
    <row r="466" spans="1:8" ht="14" x14ac:dyDescent="0.3">
      <c r="A466" s="293">
        <v>553</v>
      </c>
      <c r="B466" s="293" t="s">
        <v>1229</v>
      </c>
      <c r="C466" s="293" t="e">
        <v>#N/A</v>
      </c>
      <c r="D466" s="295" t="s">
        <v>194</v>
      </c>
      <c r="E466" s="293">
        <v>3</v>
      </c>
      <c r="F466" s="250">
        <f ca="1">VLOOKUP($D466,Data!$C:$I,7,FALSE)</f>
        <v>0</v>
      </c>
      <c r="G466" s="296" t="str">
        <f t="shared" si="56"/>
        <v>RS.CO-33</v>
      </c>
      <c r="H466" s="296" t="str">
        <f t="shared" ca="1" si="57"/>
        <v>RS.CO-330</v>
      </c>
    </row>
    <row r="467" spans="1:8" ht="14" x14ac:dyDescent="0.3">
      <c r="A467" s="293">
        <v>554</v>
      </c>
      <c r="B467" s="295" t="s">
        <v>1176</v>
      </c>
      <c r="C467" s="293" t="e">
        <v>#N/A</v>
      </c>
      <c r="D467" s="295" t="s">
        <v>195</v>
      </c>
      <c r="E467" s="293">
        <v>3</v>
      </c>
      <c r="F467" s="250">
        <f ca="1">VLOOKUP($D467,Data!$C:$I,7,FALSE)</f>
        <v>0</v>
      </c>
      <c r="G467" s="296" t="str">
        <f t="shared" si="56"/>
        <v>PR.IP-123</v>
      </c>
      <c r="H467" s="296" t="str">
        <f t="shared" ca="1" si="57"/>
        <v>PR.IP-1230</v>
      </c>
    </row>
    <row r="468" spans="1:8" ht="14" x14ac:dyDescent="0.3">
      <c r="A468" s="293">
        <v>555</v>
      </c>
      <c r="B468" s="293" t="s">
        <v>1202</v>
      </c>
      <c r="C468" s="293" t="e">
        <v>#N/A</v>
      </c>
      <c r="D468" s="295" t="s">
        <v>195</v>
      </c>
      <c r="E468" s="293">
        <v>3</v>
      </c>
      <c r="F468" s="250">
        <f ca="1">VLOOKUP($D468,Data!$C:$I,7,FALSE)</f>
        <v>0</v>
      </c>
      <c r="G468" s="296" t="str">
        <f t="shared" si="56"/>
        <v>DE.AE-53</v>
      </c>
      <c r="H468" s="296" t="str">
        <f t="shared" ca="1" si="57"/>
        <v>DE.AE-530</v>
      </c>
    </row>
    <row r="469" spans="1:8" ht="14" x14ac:dyDescent="0.3">
      <c r="A469" s="293">
        <v>556</v>
      </c>
      <c r="B469" s="295" t="s">
        <v>1057</v>
      </c>
      <c r="C469" s="293" t="e">
        <v>#N/A</v>
      </c>
      <c r="D469" s="295" t="s">
        <v>198</v>
      </c>
      <c r="E469" s="293">
        <v>3</v>
      </c>
      <c r="F469" s="250">
        <f ca="1">VLOOKUP($D469,Data!$C:$I,7,FALSE)</f>
        <v>0</v>
      </c>
      <c r="G469" s="296" t="str">
        <f t="shared" si="56"/>
        <v>ID.RA-23</v>
      </c>
      <c r="H469" s="296" t="str">
        <f t="shared" ca="1" si="57"/>
        <v>ID.RA-230</v>
      </c>
    </row>
    <row r="470" spans="1:8" ht="14" x14ac:dyDescent="0.3">
      <c r="A470" s="293">
        <v>557</v>
      </c>
      <c r="B470" s="293" t="s">
        <v>1220</v>
      </c>
      <c r="C470" s="293" t="e">
        <v>#N/A</v>
      </c>
      <c r="D470" s="295" t="s">
        <v>198</v>
      </c>
      <c r="E470" s="293">
        <v>3</v>
      </c>
      <c r="F470" s="250">
        <f ca="1">VLOOKUP($D470,Data!$C:$I,7,FALSE)</f>
        <v>0</v>
      </c>
      <c r="G470" s="296" t="str">
        <f t="shared" si="56"/>
        <v>DE.DP-43</v>
      </c>
      <c r="H470" s="296" t="str">
        <f t="shared" ca="1" si="57"/>
        <v>DE.DP-430</v>
      </c>
    </row>
    <row r="471" spans="1:8" ht="14" x14ac:dyDescent="0.3">
      <c r="A471" s="293">
        <v>558</v>
      </c>
      <c r="B471" s="293" t="s">
        <v>1229</v>
      </c>
      <c r="C471" s="293" t="e">
        <v>#N/A</v>
      </c>
      <c r="D471" s="295" t="s">
        <v>198</v>
      </c>
      <c r="E471" s="293">
        <v>3</v>
      </c>
      <c r="F471" s="250">
        <f ca="1">VLOOKUP($D471,Data!$C:$I,7,FALSE)</f>
        <v>0</v>
      </c>
      <c r="G471" s="296" t="str">
        <f t="shared" si="56"/>
        <v>RS.CO-33</v>
      </c>
      <c r="H471" s="296" t="str">
        <f t="shared" ca="1" si="57"/>
        <v>RS.CO-330</v>
      </c>
    </row>
    <row r="472" spans="1:8" ht="14" x14ac:dyDescent="0.3">
      <c r="A472" s="293">
        <v>559</v>
      </c>
      <c r="B472" s="293" t="s">
        <v>1232</v>
      </c>
      <c r="C472" s="293" t="e">
        <v>#N/A</v>
      </c>
      <c r="D472" s="295" t="s">
        <v>198</v>
      </c>
      <c r="E472" s="293">
        <v>3</v>
      </c>
      <c r="F472" s="250">
        <f ca="1">VLOOKUP($D472,Data!$C:$I,7,FALSE)</f>
        <v>0</v>
      </c>
      <c r="G472" s="296" t="str">
        <f t="shared" si="56"/>
        <v>RS.CO-53</v>
      </c>
      <c r="H472" s="296" t="str">
        <f t="shared" ca="1" si="57"/>
        <v>RS.CO-530</v>
      </c>
    </row>
    <row r="473" spans="1:8" ht="14" x14ac:dyDescent="0.3">
      <c r="A473" s="293">
        <v>560</v>
      </c>
      <c r="B473" s="293" t="s">
        <v>1237</v>
      </c>
      <c r="C473" s="293" t="e">
        <v>#N/A</v>
      </c>
      <c r="D473" s="295" t="s">
        <v>198</v>
      </c>
      <c r="E473" s="293">
        <v>3</v>
      </c>
      <c r="F473" s="250">
        <f ca="1">VLOOKUP($D473,Data!$C:$I,7,FALSE)</f>
        <v>0</v>
      </c>
      <c r="G473" s="296" t="str">
        <f t="shared" si="56"/>
        <v>RS.AN-53</v>
      </c>
      <c r="H473" s="296" t="str">
        <f t="shared" ca="1" si="57"/>
        <v>RS.AN-530</v>
      </c>
    </row>
    <row r="474" spans="1:8" ht="14" x14ac:dyDescent="0.3">
      <c r="A474" s="293">
        <v>561</v>
      </c>
      <c r="B474" s="295" t="s">
        <v>1048</v>
      </c>
      <c r="C474" s="293" t="e">
        <v>#N/A</v>
      </c>
      <c r="D474" s="295" t="s">
        <v>200</v>
      </c>
      <c r="E474" s="293">
        <v>1</v>
      </c>
      <c r="F474" s="250">
        <f ca="1">VLOOKUP($D474,Data!$C:$I,7,FALSE)</f>
        <v>0</v>
      </c>
      <c r="G474" s="296" t="str">
        <f t="shared" si="56"/>
        <v>ID.RA-11</v>
      </c>
      <c r="H474" s="296" t="str">
        <f t="shared" ca="1" si="57"/>
        <v>ID.RA-110</v>
      </c>
    </row>
    <row r="475" spans="1:8" ht="14" x14ac:dyDescent="0.3">
      <c r="A475" s="293">
        <v>562</v>
      </c>
      <c r="B475" s="295" t="s">
        <v>1057</v>
      </c>
      <c r="C475" s="293" t="e">
        <v>#N/A</v>
      </c>
      <c r="D475" s="295" t="s">
        <v>200</v>
      </c>
      <c r="E475" s="293">
        <v>1</v>
      </c>
      <c r="F475" s="250">
        <f ca="1">VLOOKUP($D475,Data!$C:$I,7,FALSE)</f>
        <v>0</v>
      </c>
      <c r="G475" s="296" t="str">
        <f t="shared" si="56"/>
        <v>ID.RA-21</v>
      </c>
      <c r="H475" s="296" t="str">
        <f t="shared" ca="1" si="57"/>
        <v>ID.RA-210</v>
      </c>
    </row>
    <row r="476" spans="1:8" ht="14" x14ac:dyDescent="0.3">
      <c r="A476" s="293">
        <v>563</v>
      </c>
      <c r="B476" s="295" t="s">
        <v>1161</v>
      </c>
      <c r="C476" s="293" t="e">
        <v>#N/A</v>
      </c>
      <c r="D476" s="295" t="s">
        <v>200</v>
      </c>
      <c r="E476" s="293">
        <v>1</v>
      </c>
      <c r="F476" s="250">
        <f ca="1">VLOOKUP($D476,Data!$C:$I,7,FALSE)</f>
        <v>0</v>
      </c>
      <c r="G476" s="296" t="str">
        <f t="shared" si="56"/>
        <v>PR.IP-81</v>
      </c>
      <c r="H476" s="296" t="str">
        <f t="shared" ca="1" si="57"/>
        <v>PR.IP-810</v>
      </c>
    </row>
    <row r="477" spans="1:8" ht="14" x14ac:dyDescent="0.3">
      <c r="A477" s="293">
        <v>564</v>
      </c>
      <c r="B477" s="295" t="s">
        <v>1232</v>
      </c>
      <c r="C477" s="293" t="e">
        <v>#N/A</v>
      </c>
      <c r="D477" s="295" t="s">
        <v>200</v>
      </c>
      <c r="E477" s="293">
        <v>1</v>
      </c>
      <c r="F477" s="250">
        <f ca="1">VLOOKUP($D477,Data!$C:$I,7,FALSE)</f>
        <v>0</v>
      </c>
      <c r="G477" s="296" t="str">
        <f t="shared" si="56"/>
        <v>RS.CO-51</v>
      </c>
      <c r="H477" s="296" t="str">
        <f t="shared" ca="1" si="57"/>
        <v>RS.CO-510</v>
      </c>
    </row>
    <row r="478" spans="1:8" ht="14" x14ac:dyDescent="0.3">
      <c r="A478" s="293">
        <v>565</v>
      </c>
      <c r="B478" s="295" t="s">
        <v>1048</v>
      </c>
      <c r="C478" s="293" t="e">
        <v>#N/A</v>
      </c>
      <c r="D478" s="295" t="s">
        <v>205</v>
      </c>
      <c r="E478" s="293">
        <v>2</v>
      </c>
      <c r="F478" s="250">
        <f ca="1">VLOOKUP($D478,Data!$C:$I,7,FALSE)</f>
        <v>0</v>
      </c>
      <c r="G478" s="296" t="str">
        <f t="shared" si="56"/>
        <v>ID.RA-12</v>
      </c>
      <c r="H478" s="296" t="str">
        <f t="shared" ca="1" si="57"/>
        <v>ID.RA-120</v>
      </c>
    </row>
    <row r="479" spans="1:8" ht="14" x14ac:dyDescent="0.3">
      <c r="A479" s="293">
        <v>566</v>
      </c>
      <c r="B479" s="295" t="s">
        <v>1060</v>
      </c>
      <c r="C479" s="293" t="e">
        <v>#N/A</v>
      </c>
      <c r="D479" s="295" t="s">
        <v>205</v>
      </c>
      <c r="E479" s="293">
        <v>2</v>
      </c>
      <c r="F479" s="250">
        <f ca="1">VLOOKUP($D479,Data!$C:$I,7,FALSE)</f>
        <v>0</v>
      </c>
      <c r="G479" s="296" t="str">
        <f t="shared" si="56"/>
        <v>ID.RA-32</v>
      </c>
      <c r="H479" s="296" t="str">
        <f t="shared" ca="1" si="57"/>
        <v>ID.RA-320</v>
      </c>
    </row>
    <row r="480" spans="1:8" ht="14" x14ac:dyDescent="0.3">
      <c r="A480" s="293">
        <v>567</v>
      </c>
      <c r="B480" s="295" t="s">
        <v>1063</v>
      </c>
      <c r="C480" s="293" t="e">
        <v>#N/A</v>
      </c>
      <c r="D480" s="295" t="s">
        <v>205</v>
      </c>
      <c r="E480" s="293">
        <v>2</v>
      </c>
      <c r="F480" s="250">
        <f ca="1">VLOOKUP($D480,Data!$C:$I,7,FALSE)</f>
        <v>0</v>
      </c>
      <c r="G480" s="296" t="str">
        <f t="shared" si="56"/>
        <v>ID.RA-42</v>
      </c>
      <c r="H480" s="296" t="str">
        <f t="shared" ca="1" si="57"/>
        <v>ID.RA-420</v>
      </c>
    </row>
    <row r="481" spans="1:8" ht="14" x14ac:dyDescent="0.3">
      <c r="A481" s="293">
        <v>568</v>
      </c>
      <c r="B481" s="295" t="s">
        <v>1161</v>
      </c>
      <c r="C481" s="293" t="e">
        <v>#N/A</v>
      </c>
      <c r="D481" s="295" t="s">
        <v>208</v>
      </c>
      <c r="E481" s="293">
        <v>2</v>
      </c>
      <c r="F481" s="250">
        <f ca="1">VLOOKUP($D481,Data!$C:$I,7,FALSE)</f>
        <v>0</v>
      </c>
      <c r="G481" s="296" t="str">
        <f t="shared" si="56"/>
        <v>PR.IP-82</v>
      </c>
      <c r="H481" s="296" t="str">
        <f t="shared" ca="1" si="57"/>
        <v>PR.IP-820</v>
      </c>
    </row>
    <row r="482" spans="1:8" ht="14" x14ac:dyDescent="0.3">
      <c r="A482" s="293">
        <v>569</v>
      </c>
      <c r="B482" s="295" t="s">
        <v>1220</v>
      </c>
      <c r="C482" s="293" t="e">
        <v>#N/A</v>
      </c>
      <c r="D482" s="295" t="s">
        <v>208</v>
      </c>
      <c r="E482" s="293">
        <v>2</v>
      </c>
      <c r="F482" s="250">
        <f ca="1">VLOOKUP($D482,Data!$C:$I,7,FALSE)</f>
        <v>0</v>
      </c>
      <c r="G482" s="296" t="str">
        <f t="shared" si="56"/>
        <v>DE.DP-42</v>
      </c>
      <c r="H482" s="296" t="str">
        <f t="shared" ca="1" si="57"/>
        <v>DE.DP-420</v>
      </c>
    </row>
    <row r="483" spans="1:8" ht="14" x14ac:dyDescent="0.3">
      <c r="A483" s="293">
        <v>570</v>
      </c>
      <c r="B483" s="295" t="s">
        <v>1229</v>
      </c>
      <c r="C483" s="293" t="e">
        <v>#N/A</v>
      </c>
      <c r="D483" s="295" t="s">
        <v>208</v>
      </c>
      <c r="E483" s="293">
        <v>2</v>
      </c>
      <c r="F483" s="250">
        <f ca="1">VLOOKUP($D483,Data!$C:$I,7,FALSE)</f>
        <v>0</v>
      </c>
      <c r="G483" s="296" t="str">
        <f t="shared" si="56"/>
        <v>RS.CO-32</v>
      </c>
      <c r="H483" s="296" t="str">
        <f t="shared" ca="1" si="57"/>
        <v>RS.CO-320</v>
      </c>
    </row>
    <row r="484" spans="1:8" ht="14" x14ac:dyDescent="0.3">
      <c r="A484" s="293">
        <v>571</v>
      </c>
      <c r="B484" s="295" t="s">
        <v>1232</v>
      </c>
      <c r="C484" s="293" t="e">
        <v>#N/A</v>
      </c>
      <c r="D484" s="295" t="s">
        <v>208</v>
      </c>
      <c r="E484" s="293">
        <v>2</v>
      </c>
      <c r="F484" s="250">
        <f ca="1">VLOOKUP($D484,Data!$C:$I,7,FALSE)</f>
        <v>0</v>
      </c>
      <c r="G484" s="296" t="str">
        <f t="shared" si="56"/>
        <v>RS.CO-52</v>
      </c>
      <c r="H484" s="296" t="str">
        <f t="shared" ca="1" si="57"/>
        <v>RS.CO-520</v>
      </c>
    </row>
    <row r="485" spans="1:8" ht="14" x14ac:dyDescent="0.3">
      <c r="A485" s="293">
        <v>572</v>
      </c>
      <c r="B485" s="295" t="s">
        <v>1220</v>
      </c>
      <c r="C485" s="293" t="e">
        <v>#N/A</v>
      </c>
      <c r="D485" s="295" t="s">
        <v>214</v>
      </c>
      <c r="E485" s="293">
        <v>3</v>
      </c>
      <c r="F485" s="250">
        <f ca="1">VLOOKUP($D485,Data!$C:$I,7,FALSE)</f>
        <v>0</v>
      </c>
      <c r="G485" s="296" t="str">
        <f t="shared" si="56"/>
        <v>DE.DP-43</v>
      </c>
      <c r="H485" s="296" t="str">
        <f t="shared" ca="1" si="57"/>
        <v>DE.DP-430</v>
      </c>
    </row>
    <row r="486" spans="1:8" ht="14" x14ac:dyDescent="0.3">
      <c r="A486" s="293">
        <v>573</v>
      </c>
      <c r="B486" s="295" t="s">
        <v>1229</v>
      </c>
      <c r="C486" s="293" t="e">
        <v>#N/A</v>
      </c>
      <c r="D486" s="295" t="s">
        <v>214</v>
      </c>
      <c r="E486" s="293">
        <v>3</v>
      </c>
      <c r="F486" s="250">
        <f ca="1">VLOOKUP($D486,Data!$C:$I,7,FALSE)</f>
        <v>0</v>
      </c>
      <c r="G486" s="296" t="str">
        <f t="shared" si="56"/>
        <v>RS.CO-33</v>
      </c>
      <c r="H486" s="296" t="str">
        <f t="shared" ca="1" si="57"/>
        <v>RS.CO-330</v>
      </c>
    </row>
    <row r="487" spans="1:8" ht="14" x14ac:dyDescent="0.3">
      <c r="A487" s="293">
        <v>574</v>
      </c>
      <c r="B487" s="295" t="s">
        <v>1205</v>
      </c>
      <c r="C487" s="293" t="e">
        <v>#N/A</v>
      </c>
      <c r="D487" s="295" t="s">
        <v>238</v>
      </c>
      <c r="E487" s="293">
        <v>3</v>
      </c>
      <c r="F487" s="250">
        <f ca="1">VLOOKUP($D487,Data!$C:$I,7,FALSE)</f>
        <v>0</v>
      </c>
      <c r="G487" s="296" t="str">
        <f t="shared" si="56"/>
        <v>DE.CM-13</v>
      </c>
      <c r="H487" s="296" t="str">
        <f t="shared" ca="1" si="57"/>
        <v>DE.CM-130</v>
      </c>
    </row>
    <row r="488" spans="1:8" ht="14" x14ac:dyDescent="0.3">
      <c r="A488" s="293">
        <v>575</v>
      </c>
      <c r="B488" s="293" t="s">
        <v>1209</v>
      </c>
      <c r="C488" s="293" t="e">
        <v>#N/A</v>
      </c>
      <c r="D488" s="295" t="s">
        <v>238</v>
      </c>
      <c r="E488" s="293">
        <v>3</v>
      </c>
      <c r="F488" s="250">
        <f ca="1">VLOOKUP($D488,Data!$C:$I,7,FALSE)</f>
        <v>0</v>
      </c>
      <c r="G488" s="296" t="str">
        <f t="shared" si="56"/>
        <v>DE.CM-23</v>
      </c>
      <c r="H488" s="296" t="str">
        <f t="shared" ca="1" si="57"/>
        <v>DE.CM-230</v>
      </c>
    </row>
    <row r="489" spans="1:8" ht="14" x14ac:dyDescent="0.3">
      <c r="A489" s="293">
        <v>576</v>
      </c>
      <c r="B489" s="293" t="s">
        <v>1210</v>
      </c>
      <c r="C489" s="293" t="e">
        <v>#N/A</v>
      </c>
      <c r="D489" s="295" t="s">
        <v>238</v>
      </c>
      <c r="E489" s="293">
        <v>3</v>
      </c>
      <c r="F489" s="250">
        <f ca="1">VLOOKUP($D489,Data!$C:$I,7,FALSE)</f>
        <v>0</v>
      </c>
      <c r="G489" s="296" t="str">
        <f t="shared" si="56"/>
        <v>DE.CM-33</v>
      </c>
      <c r="H489" s="296" t="str">
        <f t="shared" ca="1" si="57"/>
        <v>DE.CM-330</v>
      </c>
    </row>
    <row r="490" spans="1:8" ht="14" x14ac:dyDescent="0.3">
      <c r="A490" s="293">
        <v>577</v>
      </c>
      <c r="B490" s="293" t="s">
        <v>1212</v>
      </c>
      <c r="C490" s="293" t="e">
        <v>#N/A</v>
      </c>
      <c r="D490" s="295" t="s">
        <v>238</v>
      </c>
      <c r="E490" s="293">
        <v>3</v>
      </c>
      <c r="F490" s="250">
        <f ca="1">VLOOKUP($D490,Data!$C:$I,7,FALSE)</f>
        <v>0</v>
      </c>
      <c r="G490" s="296" t="str">
        <f t="shared" si="56"/>
        <v>DE.CM-43</v>
      </c>
      <c r="H490" s="296" t="str">
        <f t="shared" ca="1" si="57"/>
        <v>DE.CM-430</v>
      </c>
    </row>
    <row r="491" spans="1:8" ht="14" x14ac:dyDescent="0.3">
      <c r="A491" s="293">
        <v>578</v>
      </c>
      <c r="B491" s="293" t="s">
        <v>1001</v>
      </c>
      <c r="C491" s="293" t="e">
        <v>#N/A</v>
      </c>
      <c r="D491" s="295" t="s">
        <v>238</v>
      </c>
      <c r="E491" s="293">
        <v>3</v>
      </c>
      <c r="F491" s="250">
        <f ca="1">VLOOKUP($D491,Data!$C:$I,7,FALSE)</f>
        <v>0</v>
      </c>
      <c r="G491" s="296" t="str">
        <f t="shared" si="56"/>
        <v>DE.CM-63</v>
      </c>
      <c r="H491" s="296" t="str">
        <f t="shared" ca="1" si="57"/>
        <v>DE.CM-630</v>
      </c>
    </row>
    <row r="492" spans="1:8" ht="14" x14ac:dyDescent="0.3">
      <c r="A492" s="293">
        <v>579</v>
      </c>
      <c r="B492" s="293" t="s">
        <v>1214</v>
      </c>
      <c r="C492" s="293" t="e">
        <v>#N/A</v>
      </c>
      <c r="D492" s="295" t="s">
        <v>238</v>
      </c>
      <c r="E492" s="293">
        <v>3</v>
      </c>
      <c r="F492" s="250">
        <f ca="1">VLOOKUP($D492,Data!$C:$I,7,FALSE)</f>
        <v>0</v>
      </c>
      <c r="G492" s="296" t="str">
        <f t="shared" si="56"/>
        <v>DE.CM-73</v>
      </c>
      <c r="H492" s="296" t="str">
        <f t="shared" ca="1" si="57"/>
        <v>DE.CM-730</v>
      </c>
    </row>
    <row r="493" spans="1:8" ht="14" x14ac:dyDescent="0.3">
      <c r="A493" s="293">
        <v>580</v>
      </c>
      <c r="B493" s="295" t="s">
        <v>1220</v>
      </c>
      <c r="C493" s="293" t="e">
        <v>#N/A</v>
      </c>
      <c r="D493" s="295" t="s">
        <v>256</v>
      </c>
      <c r="E493" s="293">
        <v>1</v>
      </c>
      <c r="F493" s="250">
        <f ca="1">VLOOKUP($D493,Data!$C:$I,7,FALSE)</f>
        <v>0</v>
      </c>
      <c r="G493" s="296" t="str">
        <f t="shared" si="56"/>
        <v>DE.DP-41</v>
      </c>
      <c r="H493" s="296" t="str">
        <f t="shared" ca="1" si="57"/>
        <v>DE.DP-410</v>
      </c>
    </row>
    <row r="494" spans="1:8" ht="14" x14ac:dyDescent="0.3">
      <c r="A494" s="293">
        <v>581</v>
      </c>
      <c r="B494" s="293" t="s">
        <v>1228</v>
      </c>
      <c r="C494" s="293" t="e">
        <v>#N/A</v>
      </c>
      <c r="D494" s="295" t="s">
        <v>256</v>
      </c>
      <c r="E494" s="293">
        <v>1</v>
      </c>
      <c r="F494" s="250">
        <f ca="1">VLOOKUP($D494,Data!$C:$I,7,FALSE)</f>
        <v>0</v>
      </c>
      <c r="G494" s="296" t="str">
        <f t="shared" si="56"/>
        <v>RS.CO-21</v>
      </c>
      <c r="H494" s="296" t="str">
        <f t="shared" ca="1" si="57"/>
        <v>RS.CO-210</v>
      </c>
    </row>
    <row r="495" spans="1:8" ht="14" x14ac:dyDescent="0.3">
      <c r="A495" s="293">
        <v>582</v>
      </c>
      <c r="B495" s="293" t="s">
        <v>997</v>
      </c>
      <c r="C495" s="293" t="e">
        <v>#N/A</v>
      </c>
      <c r="D495" s="295" t="s">
        <v>256</v>
      </c>
      <c r="E495" s="293">
        <v>1</v>
      </c>
      <c r="F495" s="250">
        <f ca="1">VLOOKUP($D495,Data!$C:$I,7,FALSE)</f>
        <v>0</v>
      </c>
      <c r="G495" s="296" t="str">
        <f t="shared" si="56"/>
        <v>PR.MA-21</v>
      </c>
      <c r="H495" s="296" t="str">
        <f t="shared" ca="1" si="57"/>
        <v>PR.MA-210</v>
      </c>
    </row>
    <row r="496" spans="1:8" ht="14" x14ac:dyDescent="0.3">
      <c r="A496" s="293">
        <v>583</v>
      </c>
      <c r="B496" s="295" t="s">
        <v>1228</v>
      </c>
      <c r="C496" s="293" t="e">
        <v>#N/A</v>
      </c>
      <c r="D496" s="295" t="s">
        <v>268</v>
      </c>
      <c r="E496" s="293">
        <v>2</v>
      </c>
      <c r="F496" s="250">
        <f ca="1">VLOOKUP($D496,Data!$C:$I,7,FALSE)</f>
        <v>0</v>
      </c>
      <c r="G496" s="296" t="str">
        <f t="shared" si="56"/>
        <v>RS.CO-22</v>
      </c>
      <c r="H496" s="296" t="str">
        <f t="shared" ca="1" si="57"/>
        <v>RS.CO-220</v>
      </c>
    </row>
    <row r="497" spans="1:8" ht="14" x14ac:dyDescent="0.3">
      <c r="A497" s="293">
        <v>584</v>
      </c>
      <c r="B497" s="293" t="s">
        <v>1229</v>
      </c>
      <c r="C497" s="293" t="e">
        <v>#N/A</v>
      </c>
      <c r="D497" s="295" t="s">
        <v>268</v>
      </c>
      <c r="E497" s="293">
        <v>2</v>
      </c>
      <c r="F497" s="250">
        <f ca="1">VLOOKUP($D497,Data!$C:$I,7,FALSE)</f>
        <v>0</v>
      </c>
      <c r="G497" s="296" t="str">
        <f t="shared" si="56"/>
        <v>RS.CO-32</v>
      </c>
      <c r="H497" s="296" t="str">
        <f t="shared" ca="1" si="57"/>
        <v>RS.CO-320</v>
      </c>
    </row>
    <row r="498" spans="1:8" ht="14" x14ac:dyDescent="0.3">
      <c r="A498" s="293">
        <v>585</v>
      </c>
      <c r="B498" s="293" t="s">
        <v>1231</v>
      </c>
      <c r="C498" s="293" t="e">
        <v>#N/A</v>
      </c>
      <c r="D498" s="295" t="s">
        <v>268</v>
      </c>
      <c r="E498" s="293">
        <v>2</v>
      </c>
      <c r="F498" s="250">
        <f ca="1">VLOOKUP($D498,Data!$C:$I,7,FALSE)</f>
        <v>0</v>
      </c>
      <c r="G498" s="296" t="str">
        <f t="shared" si="56"/>
        <v>RS.CO-42</v>
      </c>
      <c r="H498" s="296" t="str">
        <f t="shared" ca="1" si="57"/>
        <v>RS.CO-420</v>
      </c>
    </row>
    <row r="499" spans="1:8" ht="14" x14ac:dyDescent="0.3">
      <c r="A499" s="293">
        <v>586</v>
      </c>
      <c r="B499" s="293" t="s">
        <v>1250</v>
      </c>
      <c r="C499" s="293" t="e">
        <v>#N/A</v>
      </c>
      <c r="D499" s="295" t="s">
        <v>268</v>
      </c>
      <c r="E499" s="293">
        <v>2</v>
      </c>
      <c r="F499" s="250">
        <f ca="1">VLOOKUP($D499,Data!$C:$I,7,FALSE)</f>
        <v>0</v>
      </c>
      <c r="G499" s="296" t="str">
        <f t="shared" si="56"/>
        <v>RC.CO-32</v>
      </c>
      <c r="H499" s="296" t="str">
        <f t="shared" ca="1" si="57"/>
        <v>RC.CO-320</v>
      </c>
    </row>
    <row r="500" spans="1:8" ht="14" x14ac:dyDescent="0.3">
      <c r="A500" s="293">
        <v>587</v>
      </c>
      <c r="B500" s="295" t="s">
        <v>1162</v>
      </c>
      <c r="C500" s="293" t="e">
        <v>#N/A</v>
      </c>
      <c r="D500" s="295" t="s">
        <v>275</v>
      </c>
      <c r="E500" s="293">
        <v>2</v>
      </c>
      <c r="F500" s="250">
        <f ca="1">VLOOKUP($D500,Data!$C:$I,7,FALSE)</f>
        <v>0</v>
      </c>
      <c r="G500" s="296" t="str">
        <f t="shared" si="56"/>
        <v>PR.IP-92</v>
      </c>
      <c r="H500" s="296" t="str">
        <f t="shared" ca="1" si="57"/>
        <v>PR.IP-920</v>
      </c>
    </row>
    <row r="501" spans="1:8" ht="14" x14ac:dyDescent="0.3">
      <c r="A501" s="293">
        <v>588</v>
      </c>
      <c r="B501" s="293" t="s">
        <v>1228</v>
      </c>
      <c r="C501" s="293" t="e">
        <v>#N/A</v>
      </c>
      <c r="D501" s="295" t="s">
        <v>275</v>
      </c>
      <c r="E501" s="293">
        <v>2</v>
      </c>
      <c r="F501" s="250">
        <f ca="1">VLOOKUP($D501,Data!$C:$I,7,FALSE)</f>
        <v>0</v>
      </c>
      <c r="G501" s="296" t="str">
        <f t="shared" si="56"/>
        <v>RS.CO-22</v>
      </c>
      <c r="H501" s="296" t="str">
        <f t="shared" ca="1" si="57"/>
        <v>RS.CO-220</v>
      </c>
    </row>
    <row r="502" spans="1:8" ht="14" x14ac:dyDescent="0.3">
      <c r="A502" s="293">
        <v>589</v>
      </c>
      <c r="B502" s="293" t="s">
        <v>1229</v>
      </c>
      <c r="C502" s="293" t="e">
        <v>#N/A</v>
      </c>
      <c r="D502" s="295" t="s">
        <v>275</v>
      </c>
      <c r="E502" s="293">
        <v>2</v>
      </c>
      <c r="F502" s="250">
        <f ca="1">VLOOKUP($D502,Data!$C:$I,7,FALSE)</f>
        <v>0</v>
      </c>
      <c r="G502" s="296" t="str">
        <f t="shared" si="56"/>
        <v>RS.CO-32</v>
      </c>
      <c r="H502" s="296" t="str">
        <f t="shared" ca="1" si="57"/>
        <v>RS.CO-320</v>
      </c>
    </row>
    <row r="503" spans="1:8" ht="14" x14ac:dyDescent="0.3">
      <c r="A503" s="293">
        <v>590</v>
      </c>
      <c r="B503" s="293" t="s">
        <v>1231</v>
      </c>
      <c r="C503" s="293" t="e">
        <v>#N/A</v>
      </c>
      <c r="D503" s="295" t="s">
        <v>275</v>
      </c>
      <c r="E503" s="293">
        <v>2</v>
      </c>
      <c r="F503" s="250">
        <f ca="1">VLOOKUP($D503,Data!$C:$I,7,FALSE)</f>
        <v>0</v>
      </c>
      <c r="G503" s="296" t="str">
        <f t="shared" si="56"/>
        <v>RS.CO-42</v>
      </c>
      <c r="H503" s="296" t="str">
        <f t="shared" ca="1" si="57"/>
        <v>RS.CO-420</v>
      </c>
    </row>
    <row r="504" spans="1:8" ht="14" x14ac:dyDescent="0.3">
      <c r="A504" s="293">
        <v>591</v>
      </c>
      <c r="B504" s="293" t="s">
        <v>1245</v>
      </c>
      <c r="C504" s="293" t="e">
        <v>#N/A</v>
      </c>
      <c r="D504" s="295" t="s">
        <v>275</v>
      </c>
      <c r="E504" s="293">
        <v>2</v>
      </c>
      <c r="F504" s="250">
        <f ca="1">VLOOKUP($D504,Data!$C:$I,7,FALSE)</f>
        <v>0</v>
      </c>
      <c r="G504" s="296" t="str">
        <f t="shared" si="56"/>
        <v>RC.RP-12</v>
      </c>
      <c r="H504" s="296" t="str">
        <f t="shared" ca="1" si="57"/>
        <v>RC.RP-120</v>
      </c>
    </row>
    <row r="505" spans="1:8" ht="14" x14ac:dyDescent="0.3">
      <c r="A505" s="293">
        <v>592</v>
      </c>
      <c r="B505" s="295" t="s">
        <v>1236</v>
      </c>
      <c r="C505" s="293" t="e">
        <v>#N/A</v>
      </c>
      <c r="D505" s="295" t="s">
        <v>281</v>
      </c>
      <c r="E505" s="293">
        <v>3</v>
      </c>
      <c r="F505" s="250">
        <f ca="1">VLOOKUP($D505,Data!$C:$I,7,FALSE)</f>
        <v>0</v>
      </c>
      <c r="G505" s="296" t="str">
        <f t="shared" si="56"/>
        <v>RS.AN-43</v>
      </c>
      <c r="H505" s="296" t="str">
        <f t="shared" ca="1" si="57"/>
        <v>RS.AN-430</v>
      </c>
    </row>
    <row r="506" spans="1:8" ht="14" x14ac:dyDescent="0.3">
      <c r="A506" s="293">
        <v>593</v>
      </c>
      <c r="B506" s="293" t="s">
        <v>1245</v>
      </c>
      <c r="C506" s="293" t="e">
        <v>#N/A</v>
      </c>
      <c r="D506" s="295" t="s">
        <v>281</v>
      </c>
      <c r="E506" s="293">
        <v>3</v>
      </c>
      <c r="F506" s="250">
        <f ca="1">VLOOKUP($D506,Data!$C:$I,7,FALSE)</f>
        <v>0</v>
      </c>
      <c r="G506" s="296" t="str">
        <f t="shared" si="56"/>
        <v>RC.RP-13</v>
      </c>
      <c r="H506" s="296" t="str">
        <f t="shared" ca="1" si="57"/>
        <v>RC.RP-130</v>
      </c>
    </row>
    <row r="507" spans="1:8" ht="14" x14ac:dyDescent="0.3">
      <c r="A507" s="293">
        <v>594</v>
      </c>
      <c r="B507" s="295" t="s">
        <v>988</v>
      </c>
      <c r="C507" s="293" t="e">
        <v>#N/A</v>
      </c>
      <c r="D507" s="295" t="s">
        <v>307</v>
      </c>
      <c r="E507" s="293">
        <v>3</v>
      </c>
      <c r="F507" s="250">
        <f ca="1">VLOOKUP($D507,Data!$C:$I,7,FALSE)</f>
        <v>0</v>
      </c>
      <c r="G507" s="296" t="str">
        <f t="shared" si="56"/>
        <v>ID.SC-33</v>
      </c>
      <c r="H507" s="296" t="str">
        <f t="shared" ca="1" si="57"/>
        <v>ID.SC-330</v>
      </c>
    </row>
    <row r="508" spans="1:8" ht="14" x14ac:dyDescent="0.3">
      <c r="A508" s="293">
        <v>595</v>
      </c>
      <c r="B508" s="295" t="s">
        <v>1083</v>
      </c>
      <c r="C508" s="293" t="e">
        <v>#N/A</v>
      </c>
      <c r="D508" s="295" t="s">
        <v>308</v>
      </c>
      <c r="E508" s="293">
        <v>3</v>
      </c>
      <c r="F508" s="250">
        <f ca="1">VLOOKUP($D508,Data!$C:$I,7,FALSE)</f>
        <v>0</v>
      </c>
      <c r="G508" s="296" t="str">
        <f t="shared" si="56"/>
        <v>ID.SC-23</v>
      </c>
      <c r="H508" s="296" t="str">
        <f t="shared" ca="1" si="57"/>
        <v>ID.SC-230</v>
      </c>
    </row>
    <row r="509" spans="1:8" ht="14" x14ac:dyDescent="0.3">
      <c r="A509" s="293">
        <v>596</v>
      </c>
      <c r="B509" s="293" t="s">
        <v>988</v>
      </c>
      <c r="C509" s="293" t="e">
        <v>#N/A</v>
      </c>
      <c r="D509" s="295" t="s">
        <v>308</v>
      </c>
      <c r="E509" s="293">
        <v>3</v>
      </c>
      <c r="F509" s="250">
        <f ca="1">VLOOKUP($D509,Data!$C:$I,7,FALSE)</f>
        <v>0</v>
      </c>
      <c r="G509" s="296" t="str">
        <f t="shared" si="56"/>
        <v>ID.SC-33</v>
      </c>
      <c r="H509" s="296" t="str">
        <f t="shared" ca="1" si="57"/>
        <v>ID.SC-330</v>
      </c>
    </row>
    <row r="510" spans="1:8" ht="14" x14ac:dyDescent="0.3">
      <c r="A510" s="293">
        <v>597</v>
      </c>
      <c r="B510" s="293" t="s">
        <v>1000</v>
      </c>
      <c r="C510" s="293" t="e">
        <v>#N/A</v>
      </c>
      <c r="D510" s="295" t="s">
        <v>308</v>
      </c>
      <c r="E510" s="293">
        <v>3</v>
      </c>
      <c r="F510" s="250">
        <f ca="1">VLOOKUP($D510,Data!$C:$I,7,FALSE)</f>
        <v>0</v>
      </c>
      <c r="G510" s="296" t="str">
        <f t="shared" si="56"/>
        <v>DE.CM-53</v>
      </c>
      <c r="H510" s="296" t="str">
        <f t="shared" ca="1" si="57"/>
        <v>DE.CM-530</v>
      </c>
    </row>
    <row r="511" spans="1:8" ht="14" x14ac:dyDescent="0.3">
      <c r="A511" s="293">
        <v>598</v>
      </c>
      <c r="B511" s="295" t="s">
        <v>1113</v>
      </c>
      <c r="C511" s="293" t="e">
        <v>#N/A</v>
      </c>
      <c r="D511" s="295" t="s">
        <v>349</v>
      </c>
      <c r="E511" s="293">
        <v>1</v>
      </c>
      <c r="F511" s="250">
        <f ca="1">VLOOKUP($D511,Data!$C:$I,7,FALSE)</f>
        <v>0</v>
      </c>
      <c r="G511" s="296" t="str">
        <f t="shared" si="56"/>
        <v>PR.AC-51</v>
      </c>
      <c r="H511" s="296" t="str">
        <f t="shared" ca="1" si="57"/>
        <v>PR.AC-510</v>
      </c>
    </row>
    <row r="512" spans="1:8" ht="14" x14ac:dyDescent="0.3">
      <c r="A512" s="293">
        <v>599</v>
      </c>
      <c r="B512" s="295" t="s">
        <v>1113</v>
      </c>
      <c r="C512" s="293" t="e">
        <v>#N/A</v>
      </c>
      <c r="D512" s="295" t="s">
        <v>350</v>
      </c>
      <c r="E512" s="293">
        <v>2</v>
      </c>
      <c r="F512" s="250">
        <f ca="1">VLOOKUP($D512,Data!$C:$I,7,FALSE)</f>
        <v>0</v>
      </c>
      <c r="G512" s="296" t="str">
        <f t="shared" si="56"/>
        <v>PR.AC-52</v>
      </c>
      <c r="H512" s="296" t="str">
        <f t="shared" ca="1" si="57"/>
        <v>PR.AC-520</v>
      </c>
    </row>
    <row r="513" spans="1:8" ht="14" x14ac:dyDescent="0.3">
      <c r="A513" s="293">
        <v>600</v>
      </c>
      <c r="B513" s="295" t="s">
        <v>1113</v>
      </c>
      <c r="C513" s="293" t="e">
        <v>#N/A</v>
      </c>
      <c r="D513" s="295" t="s">
        <v>353</v>
      </c>
      <c r="E513" s="293">
        <v>2</v>
      </c>
      <c r="F513" s="250">
        <f ca="1">VLOOKUP($D513,Data!$C:$I,7,FALSE)</f>
        <v>0</v>
      </c>
      <c r="G513" s="296" t="str">
        <f t="shared" si="56"/>
        <v>PR.AC-52</v>
      </c>
      <c r="H513" s="296" t="str">
        <f t="shared" ca="1" si="57"/>
        <v>PR.AC-520</v>
      </c>
    </row>
    <row r="514" spans="1:8" ht="14" x14ac:dyDescent="0.3">
      <c r="A514" s="293">
        <v>601</v>
      </c>
      <c r="B514" s="293" t="s">
        <v>1139</v>
      </c>
      <c r="C514" s="293" t="e">
        <v>#N/A</v>
      </c>
      <c r="D514" s="295" t="s">
        <v>353</v>
      </c>
      <c r="E514" s="293">
        <v>2</v>
      </c>
      <c r="F514" s="250">
        <f ca="1">VLOOKUP($D514,Data!$C:$I,7,FALSE)</f>
        <v>0</v>
      </c>
      <c r="G514" s="296" t="str">
        <f t="shared" ref="G514:G553" si="58">CONCATENATE($B514,$E514)</f>
        <v>PR.DS-42</v>
      </c>
      <c r="H514" s="296" t="str">
        <f t="shared" ref="H514:H553" ca="1" si="59">_xlfn.IFNA(CONCATENATE($B514,$E514,$F514),CONCATENATE($B514,$E514,0))</f>
        <v>PR.DS-420</v>
      </c>
    </row>
    <row r="515" spans="1:8" ht="14" x14ac:dyDescent="0.3">
      <c r="A515" s="293">
        <v>602</v>
      </c>
      <c r="B515" s="295" t="s">
        <v>1139</v>
      </c>
      <c r="C515" s="293" t="e">
        <v>#N/A</v>
      </c>
      <c r="D515" s="295" t="s">
        <v>356</v>
      </c>
      <c r="E515" s="293">
        <v>3</v>
      </c>
      <c r="F515" s="250">
        <f ca="1">VLOOKUP($D515,Data!$C:$I,7,FALSE)</f>
        <v>0</v>
      </c>
      <c r="G515" s="296" t="str">
        <f t="shared" si="58"/>
        <v>PR.DS-43</v>
      </c>
      <c r="H515" s="296" t="str">
        <f t="shared" ca="1" si="59"/>
        <v>PR.DS-430</v>
      </c>
    </row>
    <row r="516" spans="1:8" ht="14" x14ac:dyDescent="0.3">
      <c r="A516" s="293">
        <v>603</v>
      </c>
      <c r="B516" s="295" t="s">
        <v>1113</v>
      </c>
      <c r="C516" s="293" t="e">
        <v>#N/A</v>
      </c>
      <c r="D516" s="295" t="s">
        <v>359</v>
      </c>
      <c r="E516" s="293">
        <v>2</v>
      </c>
      <c r="F516" s="250">
        <f ca="1">VLOOKUP($D516,Data!$C:$I,7,FALSE)</f>
        <v>0</v>
      </c>
      <c r="G516" s="296" t="str">
        <f t="shared" si="58"/>
        <v>PR.AC-52</v>
      </c>
      <c r="H516" s="296" t="str">
        <f t="shared" ca="1" si="59"/>
        <v>PR.AC-520</v>
      </c>
    </row>
    <row r="517" spans="1:8" ht="14" x14ac:dyDescent="0.3">
      <c r="A517" s="293">
        <v>604</v>
      </c>
      <c r="B517" s="293" t="s">
        <v>1189</v>
      </c>
      <c r="C517" s="293" t="e">
        <v>#N/A</v>
      </c>
      <c r="D517" s="295" t="s">
        <v>359</v>
      </c>
      <c r="E517" s="293">
        <v>2</v>
      </c>
      <c r="F517" s="250">
        <f ca="1">VLOOKUP($D517,Data!$C:$I,7,FALSE)</f>
        <v>0</v>
      </c>
      <c r="G517" s="296" t="str">
        <f t="shared" si="58"/>
        <v>PR.PT-42</v>
      </c>
      <c r="H517" s="296" t="str">
        <f t="shared" ca="1" si="59"/>
        <v>PR.PT-420</v>
      </c>
    </row>
    <row r="518" spans="1:8" ht="14" x14ac:dyDescent="0.3">
      <c r="A518" s="293">
        <v>605</v>
      </c>
      <c r="B518" s="295" t="s">
        <v>1113</v>
      </c>
      <c r="C518" s="293" t="e">
        <v>#N/A</v>
      </c>
      <c r="D518" s="295" t="s">
        <v>360</v>
      </c>
      <c r="E518" s="293">
        <v>3</v>
      </c>
      <c r="F518" s="250">
        <f ca="1">VLOOKUP($D518,Data!$C:$I,7,FALSE)</f>
        <v>0</v>
      </c>
      <c r="G518" s="296" t="str">
        <f t="shared" si="58"/>
        <v>PR.AC-53</v>
      </c>
      <c r="H518" s="296" t="str">
        <f t="shared" ca="1" si="59"/>
        <v>PR.AC-530</v>
      </c>
    </row>
    <row r="519" spans="1:8" ht="14" x14ac:dyDescent="0.3">
      <c r="A519" s="293">
        <v>606</v>
      </c>
      <c r="B519" s="293" t="s">
        <v>1189</v>
      </c>
      <c r="C519" s="293" t="e">
        <v>#N/A</v>
      </c>
      <c r="D519" s="295" t="s">
        <v>360</v>
      </c>
      <c r="E519" s="293">
        <v>3</v>
      </c>
      <c r="F519" s="250">
        <f ca="1">VLOOKUP($D519,Data!$C:$I,7,FALSE)</f>
        <v>0</v>
      </c>
      <c r="G519" s="296" t="str">
        <f t="shared" si="58"/>
        <v>PR.PT-43</v>
      </c>
      <c r="H519" s="296" t="str">
        <f t="shared" ca="1" si="59"/>
        <v>PR.PT-430</v>
      </c>
    </row>
    <row r="520" spans="1:8" ht="14" x14ac:dyDescent="0.3">
      <c r="A520" s="293">
        <v>607</v>
      </c>
      <c r="B520" s="295" t="s">
        <v>1142</v>
      </c>
      <c r="C520" s="293" t="e">
        <v>#N/A</v>
      </c>
      <c r="D520" s="295" t="s">
        <v>363</v>
      </c>
      <c r="E520" s="293">
        <v>3</v>
      </c>
      <c r="F520" s="250">
        <f ca="1">VLOOKUP($D520,Data!$C:$I,7,FALSE)</f>
        <v>0</v>
      </c>
      <c r="G520" s="296" t="str">
        <f t="shared" si="58"/>
        <v>PR.DS-63</v>
      </c>
      <c r="H520" s="296" t="str">
        <f t="shared" ca="1" si="59"/>
        <v>PR.DS-630</v>
      </c>
    </row>
    <row r="521" spans="1:8" ht="14" x14ac:dyDescent="0.3">
      <c r="A521" s="293">
        <v>608</v>
      </c>
      <c r="B521" s="293" t="s">
        <v>1156</v>
      </c>
      <c r="C521" s="293" t="e">
        <v>#N/A</v>
      </c>
      <c r="D521" s="295" t="s">
        <v>363</v>
      </c>
      <c r="E521" s="293">
        <v>3</v>
      </c>
      <c r="F521" s="250">
        <f ca="1">VLOOKUP($D521,Data!$C:$I,7,FALSE)</f>
        <v>0</v>
      </c>
      <c r="G521" s="296" t="str">
        <f t="shared" si="58"/>
        <v>PR.IP-33</v>
      </c>
      <c r="H521" s="296" t="str">
        <f t="shared" ca="1" si="59"/>
        <v>PR.IP-330</v>
      </c>
    </row>
    <row r="522" spans="1:8" ht="14" x14ac:dyDescent="0.3">
      <c r="A522" s="293">
        <v>609</v>
      </c>
      <c r="B522" s="295" t="s">
        <v>1212</v>
      </c>
      <c r="C522" s="293" t="e">
        <v>#N/A</v>
      </c>
      <c r="D522" s="295" t="s">
        <v>364</v>
      </c>
      <c r="E522" s="293">
        <v>3</v>
      </c>
      <c r="F522" s="250">
        <f ca="1">VLOOKUP($D522,Data!$C:$I,7,FALSE)</f>
        <v>0</v>
      </c>
      <c r="G522" s="296" t="str">
        <f t="shared" si="58"/>
        <v>DE.CM-43</v>
      </c>
      <c r="H522" s="296" t="str">
        <f t="shared" ca="1" si="59"/>
        <v>DE.CM-430</v>
      </c>
    </row>
    <row r="523" spans="1:8" ht="14" x14ac:dyDescent="0.3">
      <c r="A523" s="293">
        <v>610</v>
      </c>
      <c r="B523" s="293" t="s">
        <v>1000</v>
      </c>
      <c r="C523" s="293" t="e">
        <v>#N/A</v>
      </c>
      <c r="D523" s="295" t="s">
        <v>364</v>
      </c>
      <c r="E523" s="293">
        <v>3</v>
      </c>
      <c r="F523" s="250">
        <f ca="1">VLOOKUP($D523,Data!$C:$I,7,FALSE)</f>
        <v>0</v>
      </c>
      <c r="G523" s="296" t="str">
        <f t="shared" si="58"/>
        <v>DE.CM-53</v>
      </c>
      <c r="H523" s="296" t="str">
        <f t="shared" ca="1" si="59"/>
        <v>DE.CM-530</v>
      </c>
    </row>
    <row r="524" spans="1:8" ht="14" x14ac:dyDescent="0.3">
      <c r="A524" s="293">
        <v>611</v>
      </c>
      <c r="B524" s="295" t="s">
        <v>1127</v>
      </c>
      <c r="C524" s="293" t="e">
        <v>#N/A</v>
      </c>
      <c r="D524" s="295" t="s">
        <v>365</v>
      </c>
      <c r="E524" s="293">
        <v>1</v>
      </c>
      <c r="F524" s="250">
        <f ca="1">VLOOKUP($D524,Data!$C:$I,7,FALSE)</f>
        <v>0</v>
      </c>
      <c r="G524" s="296" t="str">
        <f t="shared" si="58"/>
        <v>PR.DS-11</v>
      </c>
      <c r="H524" s="296" t="str">
        <f t="shared" ca="1" si="59"/>
        <v>PR.DS-110</v>
      </c>
    </row>
    <row r="525" spans="1:8" ht="14" x14ac:dyDescent="0.3">
      <c r="A525" s="293">
        <v>612</v>
      </c>
      <c r="B525" s="293" t="s">
        <v>1140</v>
      </c>
      <c r="C525" s="293" t="e">
        <v>#N/A</v>
      </c>
      <c r="D525" s="295" t="s">
        <v>365</v>
      </c>
      <c r="E525" s="293">
        <v>1</v>
      </c>
      <c r="F525" s="250">
        <f ca="1">VLOOKUP($D525,Data!$C:$I,7,FALSE)</f>
        <v>0</v>
      </c>
      <c r="G525" s="296" t="str">
        <f t="shared" si="58"/>
        <v>PR.DS-51</v>
      </c>
      <c r="H525" s="296" t="str">
        <f t="shared" ca="1" si="59"/>
        <v>PR.DS-510</v>
      </c>
    </row>
    <row r="526" spans="1:8" ht="14" x14ac:dyDescent="0.3">
      <c r="A526" s="293">
        <v>613</v>
      </c>
      <c r="B526" s="295" t="s">
        <v>1130</v>
      </c>
      <c r="C526" s="293" t="e">
        <v>#N/A</v>
      </c>
      <c r="D526" s="295" t="s">
        <v>366</v>
      </c>
      <c r="E526" s="293">
        <v>1</v>
      </c>
      <c r="F526" s="250">
        <f ca="1">VLOOKUP($D526,Data!$C:$I,7,FALSE)</f>
        <v>0</v>
      </c>
      <c r="G526" s="296" t="str">
        <f t="shared" si="58"/>
        <v>PR.DS-21</v>
      </c>
      <c r="H526" s="296" t="str">
        <f t="shared" ca="1" si="59"/>
        <v>PR.DS-210</v>
      </c>
    </row>
    <row r="527" spans="1:8" ht="14" x14ac:dyDescent="0.3">
      <c r="A527" s="293">
        <v>614</v>
      </c>
      <c r="B527" s="293" t="s">
        <v>1140</v>
      </c>
      <c r="C527" s="293" t="e">
        <v>#N/A</v>
      </c>
      <c r="D527" s="295" t="s">
        <v>366</v>
      </c>
      <c r="E527" s="293">
        <v>1</v>
      </c>
      <c r="F527" s="250">
        <f ca="1">VLOOKUP($D527,Data!$C:$I,7,FALSE)</f>
        <v>0</v>
      </c>
      <c r="G527" s="296" t="str">
        <f t="shared" si="58"/>
        <v>PR.DS-51</v>
      </c>
      <c r="H527" s="296" t="str">
        <f t="shared" ca="1" si="59"/>
        <v>PR.DS-510</v>
      </c>
    </row>
    <row r="528" spans="1:8" ht="14" x14ac:dyDescent="0.3">
      <c r="A528" s="293">
        <v>615</v>
      </c>
      <c r="B528" s="295" t="s">
        <v>1127</v>
      </c>
      <c r="C528" s="293" t="e">
        <v>#N/A</v>
      </c>
      <c r="D528" s="295" t="s">
        <v>367</v>
      </c>
      <c r="E528" s="293">
        <v>2</v>
      </c>
      <c r="F528" s="250">
        <f ca="1">VLOOKUP($D528,Data!$C:$I,7,FALSE)</f>
        <v>0</v>
      </c>
      <c r="G528" s="296" t="str">
        <f t="shared" si="58"/>
        <v>PR.DS-12</v>
      </c>
      <c r="H528" s="296" t="str">
        <f t="shared" ca="1" si="59"/>
        <v>PR.DS-120</v>
      </c>
    </row>
    <row r="529" spans="1:8" ht="14" x14ac:dyDescent="0.3">
      <c r="A529" s="293">
        <v>616</v>
      </c>
      <c r="B529" s="293" t="s">
        <v>1130</v>
      </c>
      <c r="C529" s="293" t="e">
        <v>#N/A</v>
      </c>
      <c r="D529" s="295" t="s">
        <v>367</v>
      </c>
      <c r="E529" s="293">
        <v>2</v>
      </c>
      <c r="F529" s="250">
        <f ca="1">VLOOKUP($D529,Data!$C:$I,7,FALSE)</f>
        <v>0</v>
      </c>
      <c r="G529" s="296" t="str">
        <f t="shared" si="58"/>
        <v>PR.DS-22</v>
      </c>
      <c r="H529" s="296" t="str">
        <f t="shared" ca="1" si="59"/>
        <v>PR.DS-220</v>
      </c>
    </row>
    <row r="530" spans="1:8" ht="14" x14ac:dyDescent="0.3">
      <c r="A530" s="293">
        <v>617</v>
      </c>
      <c r="B530" s="293" t="s">
        <v>1140</v>
      </c>
      <c r="C530" s="293" t="e">
        <v>#N/A</v>
      </c>
      <c r="D530" s="295" t="s">
        <v>367</v>
      </c>
      <c r="E530" s="293">
        <v>2</v>
      </c>
      <c r="F530" s="250">
        <f ca="1">VLOOKUP($D530,Data!$C:$I,7,FALSE)</f>
        <v>0</v>
      </c>
      <c r="G530" s="296" t="str">
        <f t="shared" si="58"/>
        <v>PR.DS-52</v>
      </c>
      <c r="H530" s="296" t="str">
        <f t="shared" ca="1" si="59"/>
        <v>PR.DS-520</v>
      </c>
    </row>
    <row r="531" spans="1:8" ht="14" x14ac:dyDescent="0.3">
      <c r="A531" s="293">
        <v>618</v>
      </c>
      <c r="B531" s="295" t="s">
        <v>1127</v>
      </c>
      <c r="C531" s="293" t="e">
        <v>#N/A</v>
      </c>
      <c r="D531" s="295" t="s">
        <v>368</v>
      </c>
      <c r="E531" s="293">
        <v>2</v>
      </c>
      <c r="F531" s="250">
        <f ca="1">VLOOKUP($D531,Data!$C:$I,7,FALSE)</f>
        <v>0</v>
      </c>
      <c r="G531" s="296" t="str">
        <f t="shared" si="58"/>
        <v>PR.DS-12</v>
      </c>
      <c r="H531" s="296" t="str">
        <f t="shared" ca="1" si="59"/>
        <v>PR.DS-120</v>
      </c>
    </row>
    <row r="532" spans="1:8" ht="14" x14ac:dyDescent="0.3">
      <c r="A532" s="293">
        <v>619</v>
      </c>
      <c r="B532" s="293" t="s">
        <v>1130</v>
      </c>
      <c r="C532" s="293" t="e">
        <v>#N/A</v>
      </c>
      <c r="D532" s="295" t="s">
        <v>368</v>
      </c>
      <c r="E532" s="293">
        <v>2</v>
      </c>
      <c r="F532" s="250">
        <f ca="1">VLOOKUP($D532,Data!$C:$I,7,FALSE)</f>
        <v>0</v>
      </c>
      <c r="G532" s="296" t="str">
        <f t="shared" si="58"/>
        <v>PR.DS-22</v>
      </c>
      <c r="H532" s="296" t="str">
        <f t="shared" ca="1" si="59"/>
        <v>PR.DS-220</v>
      </c>
    </row>
    <row r="533" spans="1:8" ht="14" x14ac:dyDescent="0.3">
      <c r="A533" s="293">
        <v>620</v>
      </c>
      <c r="B533" s="293" t="s">
        <v>1140</v>
      </c>
      <c r="C533" s="293" t="e">
        <v>#N/A</v>
      </c>
      <c r="D533" s="295" t="s">
        <v>368</v>
      </c>
      <c r="E533" s="293">
        <v>2</v>
      </c>
      <c r="F533" s="250">
        <f ca="1">VLOOKUP($D533,Data!$C:$I,7,FALSE)</f>
        <v>0</v>
      </c>
      <c r="G533" s="296" t="str">
        <f t="shared" si="58"/>
        <v>PR.DS-52</v>
      </c>
      <c r="H533" s="296" t="str">
        <f t="shared" ca="1" si="59"/>
        <v>PR.DS-520</v>
      </c>
    </row>
    <row r="534" spans="1:8" ht="14" x14ac:dyDescent="0.3">
      <c r="A534" s="293">
        <v>621</v>
      </c>
      <c r="B534" s="295" t="s">
        <v>1113</v>
      </c>
      <c r="C534" s="293" t="e">
        <v>#N/A</v>
      </c>
      <c r="D534" s="295" t="s">
        <v>369</v>
      </c>
      <c r="E534" s="293">
        <v>2</v>
      </c>
      <c r="F534" s="250">
        <f ca="1">VLOOKUP($D534,Data!$C:$I,7,FALSE)</f>
        <v>0</v>
      </c>
      <c r="G534" s="296" t="str">
        <f t="shared" si="58"/>
        <v>PR.AC-52</v>
      </c>
      <c r="H534" s="296" t="str">
        <f t="shared" ca="1" si="59"/>
        <v>PR.AC-520</v>
      </c>
    </row>
    <row r="535" spans="1:8" ht="14" x14ac:dyDescent="0.3">
      <c r="A535" s="293">
        <v>622</v>
      </c>
      <c r="B535" s="293" t="s">
        <v>1189</v>
      </c>
      <c r="C535" s="293" t="e">
        <v>#N/A</v>
      </c>
      <c r="D535" s="295" t="s">
        <v>369</v>
      </c>
      <c r="E535" s="293">
        <v>2</v>
      </c>
      <c r="F535" s="250">
        <f ca="1">VLOOKUP($D535,Data!$C:$I,7,FALSE)</f>
        <v>0</v>
      </c>
      <c r="G535" s="296" t="str">
        <f t="shared" si="58"/>
        <v>PR.PT-42</v>
      </c>
      <c r="H535" s="296" t="str">
        <f t="shared" ca="1" si="59"/>
        <v>PR.PT-420</v>
      </c>
    </row>
    <row r="536" spans="1:8" ht="14" x14ac:dyDescent="0.3">
      <c r="A536" s="293">
        <v>623</v>
      </c>
      <c r="B536" s="295" t="s">
        <v>1127</v>
      </c>
      <c r="C536" s="293" t="e">
        <v>#N/A</v>
      </c>
      <c r="D536" s="295" t="s">
        <v>370</v>
      </c>
      <c r="E536" s="293">
        <v>3</v>
      </c>
      <c r="F536" s="250">
        <f ca="1">VLOOKUP($D536,Data!$C:$I,7,FALSE)</f>
        <v>0</v>
      </c>
      <c r="G536" s="296" t="str">
        <f t="shared" si="58"/>
        <v>PR.DS-13</v>
      </c>
      <c r="H536" s="296" t="str">
        <f t="shared" ca="1" si="59"/>
        <v>PR.DS-130</v>
      </c>
    </row>
    <row r="537" spans="1:8" ht="14" x14ac:dyDescent="0.3">
      <c r="A537" s="293">
        <v>624</v>
      </c>
      <c r="B537" s="293" t="s">
        <v>1140</v>
      </c>
      <c r="C537" s="293" t="e">
        <v>#N/A</v>
      </c>
      <c r="D537" s="295" t="s">
        <v>370</v>
      </c>
      <c r="E537" s="293">
        <v>3</v>
      </c>
      <c r="F537" s="250">
        <f ca="1">VLOOKUP($D537,Data!$C:$I,7,FALSE)</f>
        <v>0</v>
      </c>
      <c r="G537" s="296" t="str">
        <f t="shared" si="58"/>
        <v>PR.DS-53</v>
      </c>
      <c r="H537" s="296" t="str">
        <f t="shared" ca="1" si="59"/>
        <v>PR.DS-530</v>
      </c>
    </row>
    <row r="538" spans="1:8" ht="14" x14ac:dyDescent="0.3">
      <c r="A538" s="293">
        <v>625</v>
      </c>
      <c r="B538" s="295" t="s">
        <v>1130</v>
      </c>
      <c r="C538" s="293" t="e">
        <v>#N/A</v>
      </c>
      <c r="D538" s="295" t="s">
        <v>371</v>
      </c>
      <c r="E538" s="293">
        <v>3</v>
      </c>
      <c r="F538" s="250">
        <f ca="1">VLOOKUP($D538,Data!$C:$I,7,FALSE)</f>
        <v>0</v>
      </c>
      <c r="G538" s="296" t="str">
        <f t="shared" si="58"/>
        <v>PR.DS-23</v>
      </c>
      <c r="H538" s="296" t="str">
        <f t="shared" ca="1" si="59"/>
        <v>PR.DS-230</v>
      </c>
    </row>
    <row r="539" spans="1:8" ht="14" x14ac:dyDescent="0.3">
      <c r="A539" s="293">
        <v>626</v>
      </c>
      <c r="B539" s="293" t="s">
        <v>1140</v>
      </c>
      <c r="C539" s="293" t="e">
        <v>#N/A</v>
      </c>
      <c r="D539" s="295" t="s">
        <v>371</v>
      </c>
      <c r="E539" s="293">
        <v>3</v>
      </c>
      <c r="F539" s="250">
        <f ca="1">VLOOKUP($D539,Data!$C:$I,7,FALSE)</f>
        <v>0</v>
      </c>
      <c r="G539" s="296" t="str">
        <f t="shared" si="58"/>
        <v>PR.DS-53</v>
      </c>
      <c r="H539" s="296" t="str">
        <f t="shared" ca="1" si="59"/>
        <v>PR.DS-530</v>
      </c>
    </row>
    <row r="540" spans="1:8" ht="14" x14ac:dyDescent="0.3">
      <c r="A540" s="293">
        <v>627</v>
      </c>
      <c r="B540" s="295" t="s">
        <v>1159</v>
      </c>
      <c r="C540" s="293" t="e">
        <v>#N/A</v>
      </c>
      <c r="D540" s="295" t="s">
        <v>372</v>
      </c>
      <c r="E540" s="293">
        <v>3</v>
      </c>
      <c r="F540" s="250">
        <f ca="1">VLOOKUP($D540,Data!$C:$I,7,FALSE)</f>
        <v>0</v>
      </c>
      <c r="G540" s="296" t="str">
        <f t="shared" si="58"/>
        <v>PR.IP-73</v>
      </c>
      <c r="H540" s="296" t="str">
        <f t="shared" ca="1" si="59"/>
        <v>PR.IP-730</v>
      </c>
    </row>
    <row r="541" spans="1:8" ht="14" x14ac:dyDescent="0.3">
      <c r="A541" s="293">
        <v>628</v>
      </c>
      <c r="B541" s="295" t="s">
        <v>1142</v>
      </c>
      <c r="C541" s="293" t="e">
        <v>#N/A</v>
      </c>
      <c r="D541" s="295" t="s">
        <v>374</v>
      </c>
      <c r="E541" s="293">
        <v>3</v>
      </c>
      <c r="F541" s="250">
        <f ca="1">VLOOKUP($D541,Data!$C:$I,7,FALSE)</f>
        <v>0</v>
      </c>
      <c r="G541" s="296" t="str">
        <f t="shared" si="58"/>
        <v>PR.DS-63</v>
      </c>
      <c r="H541" s="296" t="str">
        <f t="shared" ca="1" si="59"/>
        <v>PR.DS-630</v>
      </c>
    </row>
    <row r="542" spans="1:8" ht="14" x14ac:dyDescent="0.3">
      <c r="A542" s="293">
        <v>629</v>
      </c>
      <c r="B542" s="295" t="s">
        <v>1189</v>
      </c>
      <c r="C542" s="293" t="e">
        <v>#N/A</v>
      </c>
      <c r="D542" s="295" t="s">
        <v>380</v>
      </c>
      <c r="E542" s="293">
        <v>3</v>
      </c>
      <c r="F542" s="250">
        <f ca="1">VLOOKUP($D542,Data!$C:$I,7,FALSE)</f>
        <v>0</v>
      </c>
      <c r="G542" s="296" t="str">
        <f t="shared" si="58"/>
        <v>PR.PT-43</v>
      </c>
      <c r="H542" s="296" t="str">
        <f t="shared" ca="1" si="59"/>
        <v>PR.PT-430</v>
      </c>
    </row>
    <row r="543" spans="1:8" ht="14" x14ac:dyDescent="0.3">
      <c r="A543" s="293">
        <v>630</v>
      </c>
      <c r="B543" s="295" t="s">
        <v>986</v>
      </c>
      <c r="C543" s="293" t="e">
        <v>#N/A</v>
      </c>
      <c r="D543" s="295" t="s">
        <v>389</v>
      </c>
      <c r="E543" s="293">
        <v>2</v>
      </c>
      <c r="F543" s="250">
        <f ca="1">VLOOKUP($D543,Data!$C:$I,7,FALSE)</f>
        <v>0</v>
      </c>
      <c r="G543" s="296" t="str">
        <f t="shared" si="58"/>
        <v>ID.GV-32</v>
      </c>
      <c r="H543" s="296" t="str">
        <f t="shared" ca="1" si="59"/>
        <v>ID.GV-320</v>
      </c>
    </row>
    <row r="544" spans="1:8" ht="14" x14ac:dyDescent="0.3">
      <c r="A544" s="293">
        <v>631</v>
      </c>
      <c r="B544" s="295" t="s">
        <v>1019</v>
      </c>
      <c r="C544" s="293" t="e">
        <v>#N/A</v>
      </c>
      <c r="D544" s="295" t="s">
        <v>398</v>
      </c>
      <c r="E544" s="293">
        <v>2</v>
      </c>
      <c r="F544" s="250">
        <f ca="1">VLOOKUP($D544,Data!$C:$I,7,FALSE)</f>
        <v>0</v>
      </c>
      <c r="G544" s="296" t="str">
        <f t="shared" si="58"/>
        <v>ID.AM-62</v>
      </c>
      <c r="H544" s="296" t="str">
        <f t="shared" ca="1" si="59"/>
        <v>ID.AM-620</v>
      </c>
    </row>
    <row r="545" spans="1:8" ht="14" x14ac:dyDescent="0.3">
      <c r="A545" s="293">
        <v>632</v>
      </c>
      <c r="B545" s="295" t="s">
        <v>1157</v>
      </c>
      <c r="C545" s="293" t="e">
        <v>#N/A</v>
      </c>
      <c r="D545" s="295" t="s">
        <v>404</v>
      </c>
      <c r="E545" s="293">
        <v>1</v>
      </c>
      <c r="F545" s="250">
        <f ca="1">VLOOKUP($D545,Data!$C:$I,7,FALSE)</f>
        <v>0</v>
      </c>
      <c r="G545" s="296" t="str">
        <f t="shared" si="58"/>
        <v>PR.IP-41</v>
      </c>
      <c r="H545" s="296" t="str">
        <f t="shared" ca="1" si="59"/>
        <v>PR.IP-410</v>
      </c>
    </row>
    <row r="546" spans="1:8" ht="14" x14ac:dyDescent="0.3">
      <c r="A546" s="293">
        <v>633</v>
      </c>
      <c r="B546" s="295" t="s">
        <v>1190</v>
      </c>
      <c r="C546" s="293" t="e">
        <v>#N/A</v>
      </c>
      <c r="D546" s="295" t="s">
        <v>407</v>
      </c>
      <c r="E546" s="293">
        <v>2</v>
      </c>
      <c r="F546" s="250">
        <f ca="1">VLOOKUP($D546,Data!$C:$I,7,FALSE)</f>
        <v>0</v>
      </c>
      <c r="G546" s="296" t="str">
        <f t="shared" si="58"/>
        <v>PR.PT-52</v>
      </c>
      <c r="H546" s="296" t="str">
        <f t="shared" ca="1" si="59"/>
        <v>PR.PT-520</v>
      </c>
    </row>
    <row r="547" spans="1:8" ht="14" x14ac:dyDescent="0.3">
      <c r="A547" s="293">
        <v>634</v>
      </c>
      <c r="B547" s="293" t="s">
        <v>1030</v>
      </c>
      <c r="C547" s="293" t="e">
        <v>#N/A</v>
      </c>
      <c r="D547" s="295" t="s">
        <v>407</v>
      </c>
      <c r="E547" s="293">
        <v>2</v>
      </c>
      <c r="F547" s="250">
        <f ca="1">VLOOKUP($D547,Data!$C:$I,7,FALSE)</f>
        <v>0</v>
      </c>
      <c r="G547" s="296" t="str">
        <f t="shared" si="58"/>
        <v>ID.BE-52</v>
      </c>
      <c r="H547" s="296" t="str">
        <f t="shared" ca="1" si="59"/>
        <v>ID.BE-520</v>
      </c>
    </row>
    <row r="548" spans="1:8" ht="14" x14ac:dyDescent="0.3">
      <c r="A548" s="293">
        <v>635</v>
      </c>
      <c r="B548" s="293" t="s">
        <v>1157</v>
      </c>
      <c r="C548" s="293" t="e">
        <v>#N/A</v>
      </c>
      <c r="D548" s="295" t="s">
        <v>407</v>
      </c>
      <c r="E548" s="293">
        <v>2</v>
      </c>
      <c r="F548" s="250">
        <f ca="1">VLOOKUP($D548,Data!$C:$I,7,FALSE)</f>
        <v>0</v>
      </c>
      <c r="G548" s="296" t="str">
        <f t="shared" si="58"/>
        <v>PR.IP-42</v>
      </c>
      <c r="H548" s="296" t="str">
        <f t="shared" ca="1" si="59"/>
        <v>PR.IP-420</v>
      </c>
    </row>
    <row r="549" spans="1:8" ht="14" x14ac:dyDescent="0.3">
      <c r="A549" s="293">
        <v>636</v>
      </c>
      <c r="B549" s="293" t="s">
        <v>1162</v>
      </c>
      <c r="C549" s="293" t="e">
        <v>#N/A</v>
      </c>
      <c r="D549" s="295" t="s">
        <v>407</v>
      </c>
      <c r="E549" s="293">
        <v>2</v>
      </c>
      <c r="F549" s="250">
        <f ca="1">VLOOKUP($D549,Data!$C:$I,7,FALSE)</f>
        <v>0</v>
      </c>
      <c r="G549" s="296" t="str">
        <f t="shared" si="58"/>
        <v>PR.IP-92</v>
      </c>
      <c r="H549" s="296" t="str">
        <f t="shared" ca="1" si="59"/>
        <v>PR.IP-920</v>
      </c>
    </row>
    <row r="550" spans="1:8" ht="14" x14ac:dyDescent="0.3">
      <c r="A550" s="293">
        <v>637</v>
      </c>
      <c r="B550" s="295" t="s">
        <v>1245</v>
      </c>
      <c r="C550" s="293" t="e">
        <v>#N/A</v>
      </c>
      <c r="D550" s="295" t="s">
        <v>410</v>
      </c>
      <c r="E550" s="293">
        <v>2</v>
      </c>
      <c r="F550" s="250">
        <f ca="1">VLOOKUP($D550,Data!$C:$I,7,FALSE)</f>
        <v>0</v>
      </c>
      <c r="G550" s="296" t="str">
        <f t="shared" si="58"/>
        <v>RC.RP-12</v>
      </c>
      <c r="H550" s="296" t="str">
        <f t="shared" ca="1" si="59"/>
        <v>RC.RP-120</v>
      </c>
    </row>
    <row r="551" spans="1:8" ht="14" x14ac:dyDescent="0.3">
      <c r="A551" s="293">
        <v>638</v>
      </c>
      <c r="B551" s="293" t="s">
        <v>1162</v>
      </c>
      <c r="C551" s="293" t="e">
        <v>#N/A</v>
      </c>
      <c r="D551" s="295" t="s">
        <v>410</v>
      </c>
      <c r="E551" s="293">
        <v>2</v>
      </c>
      <c r="F551" s="250">
        <f ca="1">VLOOKUP($D551,Data!$C:$I,7,FALSE)</f>
        <v>0</v>
      </c>
      <c r="G551" s="296" t="str">
        <f t="shared" si="58"/>
        <v>PR.IP-92</v>
      </c>
      <c r="H551" s="296" t="str">
        <f t="shared" ca="1" si="59"/>
        <v>PR.IP-920</v>
      </c>
    </row>
    <row r="552" spans="1:8" ht="14" x14ac:dyDescent="0.3">
      <c r="A552" s="293">
        <v>639</v>
      </c>
      <c r="B552" s="295" t="s">
        <v>1170</v>
      </c>
      <c r="C552" s="293" t="e">
        <v>#N/A</v>
      </c>
      <c r="D552" s="295" t="s">
        <v>415</v>
      </c>
      <c r="E552" s="293">
        <v>3</v>
      </c>
      <c r="F552" s="250">
        <f ca="1">VLOOKUP($D552,Data!$C:$I,7,FALSE)</f>
        <v>0</v>
      </c>
      <c r="G552" s="296" t="str">
        <f t="shared" si="58"/>
        <v>PR.IP-103</v>
      </c>
      <c r="H552" s="296" t="str">
        <f t="shared" ca="1" si="59"/>
        <v>PR.IP-1030</v>
      </c>
    </row>
    <row r="553" spans="1:8" ht="14" x14ac:dyDescent="0.3">
      <c r="A553" s="293">
        <v>640</v>
      </c>
      <c r="B553" s="293" t="s">
        <v>1246</v>
      </c>
      <c r="C553" s="293" t="e">
        <v>#N/A</v>
      </c>
      <c r="D553" s="295" t="s">
        <v>415</v>
      </c>
      <c r="E553" s="293">
        <v>3</v>
      </c>
      <c r="F553" s="250">
        <f ca="1">VLOOKUP($D553,Data!$C:$I,7,FALSE)</f>
        <v>0</v>
      </c>
      <c r="G553" s="296" t="str">
        <f t="shared" si="58"/>
        <v>RC.IM-13</v>
      </c>
      <c r="H553" s="296" t="str">
        <f t="shared" ca="1" si="59"/>
        <v>RC.IM-130</v>
      </c>
    </row>
  </sheetData>
  <sheetProtection sheet="1" objects="1" scenarios="1" selectLockedCells="1" selectUnlockedCells="1"/>
  <autoFilter ref="A1:H553">
    <sortState ref="A2:H553">
      <sortCondition ref="A1:A553"/>
    </sortState>
  </autoFilter>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2"/>
  <sheetViews>
    <sheetView workbookViewId="0">
      <selection activeCell="D21" sqref="D21"/>
    </sheetView>
  </sheetViews>
  <sheetFormatPr defaultRowHeight="13.5" x14ac:dyDescent="0.25"/>
  <cols>
    <col min="1" max="1" width="27.640625" customWidth="1"/>
    <col min="2" max="2" width="21" style="2" customWidth="1"/>
    <col min="4" max="6" width="12.640625" customWidth="1"/>
    <col min="7" max="7" width="23.42578125" customWidth="1"/>
  </cols>
  <sheetData>
    <row r="1" spans="1:7" x14ac:dyDescent="0.25">
      <c r="A1" s="47" t="s">
        <v>2595</v>
      </c>
      <c r="B1" s="121">
        <f>MATCH(Kybermittari!D7,Languages!1:1,0)</f>
        <v>3</v>
      </c>
    </row>
    <row r="2" spans="1:7" x14ac:dyDescent="0.25">
      <c r="A2" s="47" t="s">
        <v>2596</v>
      </c>
      <c r="B2" s="259" t="s">
        <v>1615</v>
      </c>
      <c r="C2" s="261" t="s">
        <v>1608</v>
      </c>
      <c r="D2" s="262" t="s">
        <v>1276</v>
      </c>
      <c r="E2" s="262" t="s">
        <v>1275</v>
      </c>
      <c r="F2" s="263" t="s">
        <v>1277</v>
      </c>
      <c r="G2" s="47" t="s">
        <v>491</v>
      </c>
    </row>
    <row r="3" spans="1:7" x14ac:dyDescent="0.25">
      <c r="A3" t="s">
        <v>492</v>
      </c>
      <c r="B3" s="118">
        <v>0.5</v>
      </c>
      <c r="G3" t="s">
        <v>493</v>
      </c>
    </row>
    <row r="4" spans="1:7" x14ac:dyDescent="0.25">
      <c r="A4" t="s">
        <v>495</v>
      </c>
      <c r="B4" s="2">
        <v>0.3</v>
      </c>
      <c r="G4" t="s">
        <v>496</v>
      </c>
    </row>
    <row r="5" spans="1:7" x14ac:dyDescent="0.25">
      <c r="A5" t="s">
        <v>497</v>
      </c>
      <c r="B5" s="2">
        <v>0.6</v>
      </c>
      <c r="G5" t="s">
        <v>498</v>
      </c>
    </row>
    <row r="6" spans="1:7" x14ac:dyDescent="0.25">
      <c r="A6" t="s">
        <v>499</v>
      </c>
      <c r="B6" s="2">
        <v>0.9</v>
      </c>
      <c r="G6" t="s">
        <v>500</v>
      </c>
    </row>
    <row r="7" spans="1:7" x14ac:dyDescent="0.25">
      <c r="A7" s="47" t="s">
        <v>494</v>
      </c>
      <c r="B7" s="2">
        <v>0</v>
      </c>
      <c r="C7" s="103">
        <v>0</v>
      </c>
      <c r="D7" t="s">
        <v>1609</v>
      </c>
      <c r="E7" t="s">
        <v>1563</v>
      </c>
      <c r="F7" t="s">
        <v>2529</v>
      </c>
    </row>
    <row r="8" spans="1:7" x14ac:dyDescent="0.25">
      <c r="B8" s="2">
        <v>1</v>
      </c>
      <c r="C8" s="103">
        <v>1</v>
      </c>
      <c r="D8" t="s">
        <v>1610</v>
      </c>
      <c r="E8" t="s">
        <v>1567</v>
      </c>
      <c r="F8" t="s">
        <v>2530</v>
      </c>
    </row>
    <row r="9" spans="1:7" x14ac:dyDescent="0.25">
      <c r="B9" s="2">
        <v>2</v>
      </c>
      <c r="C9" s="103">
        <v>2</v>
      </c>
      <c r="D9" t="s">
        <v>1611</v>
      </c>
      <c r="E9" t="s">
        <v>1568</v>
      </c>
      <c r="F9" t="s">
        <v>2531</v>
      </c>
    </row>
    <row r="10" spans="1:7" x14ac:dyDescent="0.25">
      <c r="B10" s="2">
        <v>3</v>
      </c>
      <c r="C10" s="103">
        <v>3</v>
      </c>
      <c r="D10" t="s">
        <v>1612</v>
      </c>
      <c r="E10" t="s">
        <v>1564</v>
      </c>
      <c r="F10" t="s">
        <v>2532</v>
      </c>
    </row>
    <row r="11" spans="1:7" x14ac:dyDescent="0.25">
      <c r="A11" s="47" t="s">
        <v>2476</v>
      </c>
      <c r="B11" s="141" t="str">
        <f>VLOOKUP($C11,$C$11:$F$13,$B$1,FALSE)</f>
        <v>Organisaation nykytila</v>
      </c>
      <c r="C11" s="35">
        <v>0</v>
      </c>
      <c r="D11" t="s">
        <v>2483</v>
      </c>
      <c r="E11" t="s">
        <v>1566</v>
      </c>
      <c r="F11" t="s">
        <v>2525</v>
      </c>
      <c r="G11" s="141" t="s">
        <v>2722</v>
      </c>
    </row>
    <row r="12" spans="1:7" x14ac:dyDescent="0.25">
      <c r="B12" s="141" t="str">
        <f>VLOOKUP($C12,$C$11:$F$13,$B$1,FALSE)</f>
        <v>Organisaation edellinen arviointi</v>
      </c>
      <c r="C12" s="35">
        <v>1</v>
      </c>
      <c r="D12" t="s">
        <v>2484</v>
      </c>
      <c r="E12" t="s">
        <v>1569</v>
      </c>
      <c r="F12" t="s">
        <v>2526</v>
      </c>
    </row>
    <row r="13" spans="1:7" x14ac:dyDescent="0.25">
      <c r="B13" s="141" t="str">
        <f>VLOOKUP($C13,$C$11:$F$13,$B$1,FALSE)</f>
        <v>Referenssiryhmän keskiarvo</v>
      </c>
      <c r="C13" s="35">
        <v>2</v>
      </c>
      <c r="D13" t="s">
        <v>2485</v>
      </c>
      <c r="E13" t="s">
        <v>2477</v>
      </c>
      <c r="F13" t="s">
        <v>2527</v>
      </c>
    </row>
    <row r="14" spans="1:7" x14ac:dyDescent="0.25">
      <c r="A14" s="47" t="s">
        <v>2478</v>
      </c>
      <c r="B14" s="141" t="str">
        <f>VLOOKUP($C14,$C$14:$F$17,$B$1,FALSE)</f>
        <v>Kypsyystaso 0</v>
      </c>
      <c r="C14" s="35">
        <v>0</v>
      </c>
      <c r="D14" t="s">
        <v>1609</v>
      </c>
      <c r="E14" t="s">
        <v>1563</v>
      </c>
      <c r="F14" t="s">
        <v>2529</v>
      </c>
    </row>
    <row r="15" spans="1:7" x14ac:dyDescent="0.25">
      <c r="B15" s="141" t="str">
        <f>VLOOKUP($C15,$C$14:$F$17,$B$1,FALSE)</f>
        <v>Kypsyystaso 1</v>
      </c>
      <c r="C15" s="35">
        <v>1</v>
      </c>
      <c r="D15" t="s">
        <v>1610</v>
      </c>
      <c r="E15" t="s">
        <v>1567</v>
      </c>
      <c r="F15" t="s">
        <v>2530</v>
      </c>
    </row>
    <row r="16" spans="1:7" x14ac:dyDescent="0.25">
      <c r="B16" s="141" t="str">
        <f>VLOOKUP($C16,$C$14:$F$17,$B$1,FALSE)</f>
        <v>Kypsyystaso 2</v>
      </c>
      <c r="C16" s="35">
        <v>2</v>
      </c>
      <c r="D16" t="s">
        <v>1611</v>
      </c>
      <c r="E16" t="s">
        <v>1568</v>
      </c>
      <c r="F16" t="s">
        <v>2531</v>
      </c>
    </row>
    <row r="17" spans="1:6" x14ac:dyDescent="0.25">
      <c r="B17" s="141" t="str">
        <f>VLOOKUP($C17,$C$14:$F$17,$B$1,FALSE)</f>
        <v>Kypsyystaso 3</v>
      </c>
      <c r="C17" s="35">
        <v>3</v>
      </c>
      <c r="D17" t="s">
        <v>1612</v>
      </c>
      <c r="E17" t="s">
        <v>1564</v>
      </c>
      <c r="F17" t="s">
        <v>2532</v>
      </c>
    </row>
    <row r="18" spans="1:6" x14ac:dyDescent="0.25">
      <c r="A18" s="47" t="s">
        <v>501</v>
      </c>
      <c r="B18" s="264" t="str">
        <f>VLOOKUP($C18,$C$18:$F$22,$B$1,FALSE)</f>
        <v>0 - Vastaus puuttuu</v>
      </c>
      <c r="C18" s="261">
        <v>0</v>
      </c>
      <c r="D18" s="265" t="s">
        <v>1603</v>
      </c>
      <c r="E18" s="265" t="s">
        <v>17</v>
      </c>
      <c r="F18" s="247" t="s">
        <v>2283</v>
      </c>
    </row>
    <row r="19" spans="1:6" x14ac:dyDescent="0.25">
      <c r="B19" s="264" t="str">
        <f>VLOOKUP($C19,$C$18:$F$22,$B$1,FALSE)</f>
        <v>1 - Ei toteutettu</v>
      </c>
      <c r="C19" s="261">
        <v>1</v>
      </c>
      <c r="D19" s="265" t="s">
        <v>1604</v>
      </c>
      <c r="E19" s="265" t="s">
        <v>502</v>
      </c>
      <c r="F19" s="247" t="s">
        <v>2659</v>
      </c>
    </row>
    <row r="20" spans="1:6" x14ac:dyDescent="0.25">
      <c r="B20" s="264" t="str">
        <f>VLOOKUP($C20,$C$18:$F$22,$B$1,FALSE)</f>
        <v>2 - Osittain toteutettu</v>
      </c>
      <c r="C20" s="261">
        <v>2</v>
      </c>
      <c r="D20" s="265" t="s">
        <v>1605</v>
      </c>
      <c r="E20" s="265" t="s">
        <v>503</v>
      </c>
      <c r="F20" s="247" t="s">
        <v>2660</v>
      </c>
    </row>
    <row r="21" spans="1:6" x14ac:dyDescent="0.25">
      <c r="B21" s="264" t="str">
        <f>VLOOKUP($C21,$C$18:$F$22,$B$1,FALSE)</f>
        <v>3 - Enimmäkseen  toteutettu</v>
      </c>
      <c r="C21" s="261">
        <v>3</v>
      </c>
      <c r="D21" s="265" t="s">
        <v>1606</v>
      </c>
      <c r="E21" s="265" t="s">
        <v>504</v>
      </c>
      <c r="F21" s="247" t="s">
        <v>2661</v>
      </c>
    </row>
    <row r="22" spans="1:6" x14ac:dyDescent="0.25">
      <c r="B22" s="264" t="str">
        <f>VLOOKUP($C22,$C$18:$F$22,$B$1,FALSE)</f>
        <v>4 - Täysin toteutettu</v>
      </c>
      <c r="C22" s="261">
        <v>4</v>
      </c>
      <c r="D22" s="265" t="s">
        <v>1607</v>
      </c>
      <c r="E22" s="265" t="s">
        <v>8</v>
      </c>
      <c r="F22" s="247" t="s">
        <v>2662</v>
      </c>
    </row>
    <row r="23" spans="1:6" x14ac:dyDescent="0.25">
      <c r="A23" s="47" t="s">
        <v>1284</v>
      </c>
      <c r="B23" s="264" t="str">
        <f>VLOOKUP($C23,$C$23:$F$25,$B$1,FALSE)</f>
        <v>1. Vähäinen systeeminen vaikutus</v>
      </c>
      <c r="C23" s="261">
        <v>1</v>
      </c>
      <c r="D23" s="247" t="s">
        <v>1280</v>
      </c>
      <c r="E23" s="247" t="s">
        <v>1281</v>
      </c>
      <c r="F23" s="265" t="s">
        <v>2740</v>
      </c>
    </row>
    <row r="24" spans="1:6" x14ac:dyDescent="0.25">
      <c r="B24" s="264" t="str">
        <f>VLOOKUP($C24,$C$23:$F$25,$B$1,FALSE)</f>
        <v>2. Huomattava systeeminen vaikutus</v>
      </c>
      <c r="C24" s="261">
        <v>2</v>
      </c>
      <c r="D24" s="247" t="s">
        <v>1510</v>
      </c>
      <c r="E24" s="247" t="s">
        <v>630</v>
      </c>
      <c r="F24" s="265" t="s">
        <v>2741</v>
      </c>
    </row>
    <row r="25" spans="1:6" x14ac:dyDescent="0.25">
      <c r="B25" s="264" t="str">
        <f>VLOOKUP($C25,$C$23:$F$25,$B$1,FALSE)</f>
        <v>3. Rampauttava systeeminen vaikutus</v>
      </c>
      <c r="C25" s="261">
        <v>3</v>
      </c>
      <c r="D25" s="247" t="s">
        <v>1282</v>
      </c>
      <c r="E25" s="247" t="s">
        <v>1283</v>
      </c>
      <c r="F25" s="265" t="s">
        <v>2742</v>
      </c>
    </row>
    <row r="26" spans="1:6" x14ac:dyDescent="0.25">
      <c r="A26" s="47" t="s">
        <v>505</v>
      </c>
      <c r="B26" s="264" t="str">
        <f t="shared" ref="B26:B33" si="0">VLOOKUP($C26,$C$26:$F$33,$B$1,FALSE)</f>
        <v>Ei hvk-toiminto</v>
      </c>
      <c r="C26" s="266">
        <v>1</v>
      </c>
      <c r="D26" s="247" t="s">
        <v>2626</v>
      </c>
      <c r="E26" s="247" t="s">
        <v>1562</v>
      </c>
      <c r="F26" s="247" t="s">
        <v>2664</v>
      </c>
    </row>
    <row r="27" spans="1:6" x14ac:dyDescent="0.25">
      <c r="B27" s="264" t="str">
        <f t="shared" si="0"/>
        <v>Elintarvikehuolto</v>
      </c>
      <c r="C27" s="266">
        <v>2</v>
      </c>
      <c r="D27" s="247" t="s">
        <v>2622</v>
      </c>
      <c r="E27" s="247" t="s">
        <v>507</v>
      </c>
      <c r="F27" s="247" t="s">
        <v>2663</v>
      </c>
    </row>
    <row r="28" spans="1:6" x14ac:dyDescent="0.25">
      <c r="B28" s="264" t="str">
        <f t="shared" si="0"/>
        <v>Energiahuolto</v>
      </c>
      <c r="C28" s="266">
        <v>3</v>
      </c>
      <c r="D28" s="247" t="s">
        <v>2619</v>
      </c>
      <c r="E28" s="247" t="s">
        <v>508</v>
      </c>
      <c r="F28" s="247" t="s">
        <v>2627</v>
      </c>
    </row>
    <row r="29" spans="1:6" x14ac:dyDescent="0.25">
      <c r="B29" s="264" t="str">
        <f t="shared" si="0"/>
        <v>Finanssiala</v>
      </c>
      <c r="C29" s="266">
        <v>4</v>
      </c>
      <c r="D29" s="247" t="s">
        <v>2623</v>
      </c>
      <c r="E29" s="247" t="s">
        <v>1534</v>
      </c>
      <c r="F29" s="247" t="s">
        <v>2665</v>
      </c>
    </row>
    <row r="30" spans="1:6" x14ac:dyDescent="0.25">
      <c r="B30" s="264" t="str">
        <f t="shared" si="0"/>
        <v>Kriittinen teollisuustuotanto</v>
      </c>
      <c r="C30" s="266">
        <v>5</v>
      </c>
      <c r="D30" s="247" t="s">
        <v>2624</v>
      </c>
      <c r="E30" s="247" t="s">
        <v>509</v>
      </c>
      <c r="F30" s="247" t="s">
        <v>2666</v>
      </c>
    </row>
    <row r="31" spans="1:6" x14ac:dyDescent="0.25">
      <c r="B31" s="264" t="str">
        <f t="shared" si="0"/>
        <v>Logistiikka</v>
      </c>
      <c r="C31" s="266">
        <v>6</v>
      </c>
      <c r="D31" s="247" t="s">
        <v>2620</v>
      </c>
      <c r="E31" s="247" t="s">
        <v>510</v>
      </c>
      <c r="F31" s="247" t="s">
        <v>2628</v>
      </c>
    </row>
    <row r="32" spans="1:6" x14ac:dyDescent="0.25">
      <c r="B32" s="264" t="str">
        <f t="shared" si="0"/>
        <v>Terveydenhuolto</v>
      </c>
      <c r="C32" s="266">
        <v>7</v>
      </c>
      <c r="D32" s="247" t="s">
        <v>2625</v>
      </c>
      <c r="E32" s="247" t="s">
        <v>511</v>
      </c>
      <c r="F32" s="247" t="s">
        <v>2667</v>
      </c>
    </row>
    <row r="33" spans="1:6" x14ac:dyDescent="0.25">
      <c r="B33" s="264" t="str">
        <f t="shared" si="0"/>
        <v>Tietoyhteiskunta</v>
      </c>
      <c r="C33" s="266">
        <v>8</v>
      </c>
      <c r="D33" s="247" t="s">
        <v>2621</v>
      </c>
      <c r="E33" s="247" t="s">
        <v>512</v>
      </c>
      <c r="F33" s="247" t="s">
        <v>2668</v>
      </c>
    </row>
    <row r="34" spans="1:6" x14ac:dyDescent="0.25">
      <c r="A34" s="47" t="s">
        <v>1291</v>
      </c>
      <c r="B34" s="264" t="str">
        <f t="shared" ref="B34:B61" si="1">VLOOKUP($C34,$C$34:$F$61,$B$1,FALSE)</f>
        <v>Ei hvk-toimiala</v>
      </c>
      <c r="C34" s="266">
        <v>1</v>
      </c>
      <c r="D34" s="247" t="s">
        <v>2626</v>
      </c>
      <c r="E34" s="247" t="s">
        <v>506</v>
      </c>
      <c r="F34" s="247" t="s">
        <v>2664</v>
      </c>
    </row>
    <row r="35" spans="1:6" x14ac:dyDescent="0.25">
      <c r="B35" s="264" t="str">
        <f t="shared" si="1"/>
        <v>Elintarvike - Alkutuotanto</v>
      </c>
      <c r="C35" s="266">
        <v>2</v>
      </c>
      <c r="D35" s="247" t="s">
        <v>2718</v>
      </c>
      <c r="E35" s="247" t="s">
        <v>1535</v>
      </c>
      <c r="F35" s="247" t="s">
        <v>2669</v>
      </c>
    </row>
    <row r="36" spans="1:6" x14ac:dyDescent="0.25">
      <c r="B36" s="264" t="str">
        <f t="shared" si="1"/>
        <v>Elintarvike - Elintarviketeollisuus</v>
      </c>
      <c r="C36" s="266">
        <v>3</v>
      </c>
      <c r="D36" s="247" t="s">
        <v>2719</v>
      </c>
      <c r="E36" s="247" t="s">
        <v>1536</v>
      </c>
      <c r="F36" s="247" t="s">
        <v>2670</v>
      </c>
    </row>
    <row r="37" spans="1:6" x14ac:dyDescent="0.25">
      <c r="B37" s="264" t="str">
        <f t="shared" si="1"/>
        <v>Elintarvike - Kauppa ja jakelu</v>
      </c>
      <c r="C37" s="266">
        <v>4</v>
      </c>
      <c r="D37" s="247" t="s">
        <v>2720</v>
      </c>
      <c r="E37" s="247" t="s">
        <v>1537</v>
      </c>
      <c r="F37" s="247" t="s">
        <v>2671</v>
      </c>
    </row>
    <row r="38" spans="1:6" x14ac:dyDescent="0.25">
      <c r="B38" s="264" t="str">
        <f t="shared" si="1"/>
        <v>Elintarvike - Muu</v>
      </c>
      <c r="C38" s="266">
        <v>5</v>
      </c>
      <c r="D38" s="247" t="s">
        <v>2721</v>
      </c>
      <c r="E38" s="247" t="s">
        <v>1538</v>
      </c>
      <c r="F38" s="247" t="s">
        <v>2672</v>
      </c>
    </row>
    <row r="39" spans="1:6" x14ac:dyDescent="0.25">
      <c r="B39" s="264" t="str">
        <f t="shared" si="1"/>
        <v>Energia - Voimatalous</v>
      </c>
      <c r="C39" s="266">
        <v>6</v>
      </c>
      <c r="D39" s="247" t="s">
        <v>2696</v>
      </c>
      <c r="E39" s="247" t="s">
        <v>1539</v>
      </c>
      <c r="F39" s="247" t="s">
        <v>2673</v>
      </c>
    </row>
    <row r="40" spans="1:6" x14ac:dyDescent="0.25">
      <c r="B40" s="264" t="str">
        <f t="shared" si="1"/>
        <v>Energia - Öljy</v>
      </c>
      <c r="C40" s="266">
        <v>7</v>
      </c>
      <c r="D40" s="247" t="s">
        <v>2697</v>
      </c>
      <c r="E40" s="247" t="s">
        <v>1540</v>
      </c>
      <c r="F40" s="247" t="s">
        <v>2674</v>
      </c>
    </row>
    <row r="41" spans="1:6" x14ac:dyDescent="0.25">
      <c r="B41" s="264" t="str">
        <f t="shared" si="1"/>
        <v>Energia - Muu</v>
      </c>
      <c r="C41" s="266">
        <v>8</v>
      </c>
      <c r="D41" s="247" t="s">
        <v>2698</v>
      </c>
      <c r="E41" s="247" t="s">
        <v>1541</v>
      </c>
      <c r="F41" s="247" t="s">
        <v>2675</v>
      </c>
    </row>
    <row r="42" spans="1:6" x14ac:dyDescent="0.25">
      <c r="B42" s="264" t="str">
        <f t="shared" si="1"/>
        <v>Finanssi - Rahoitushuolto</v>
      </c>
      <c r="C42" s="266">
        <v>9</v>
      </c>
      <c r="D42" s="247" t="s">
        <v>2699</v>
      </c>
      <c r="E42" s="247" t="s">
        <v>1542</v>
      </c>
      <c r="F42" s="247" t="s">
        <v>2676</v>
      </c>
    </row>
    <row r="43" spans="1:6" x14ac:dyDescent="0.25">
      <c r="B43" s="264" t="str">
        <f t="shared" si="1"/>
        <v>Finanssi - Vakuutusala</v>
      </c>
      <c r="C43" s="266">
        <v>10</v>
      </c>
      <c r="D43" s="247" t="s">
        <v>2700</v>
      </c>
      <c r="E43" s="247" t="s">
        <v>1543</v>
      </c>
      <c r="F43" s="247" t="s">
        <v>2677</v>
      </c>
    </row>
    <row r="44" spans="1:6" x14ac:dyDescent="0.25">
      <c r="B44" s="264" t="str">
        <f t="shared" si="1"/>
        <v>Finanssi - Muu</v>
      </c>
      <c r="C44" s="266">
        <v>11</v>
      </c>
      <c r="D44" s="247" t="s">
        <v>2701</v>
      </c>
      <c r="E44" s="247" t="s">
        <v>1544</v>
      </c>
      <c r="F44" s="247" t="s">
        <v>2678</v>
      </c>
    </row>
    <row r="45" spans="1:6" x14ac:dyDescent="0.25">
      <c r="B45" s="264" t="str">
        <f t="shared" si="1"/>
        <v>Kriit. teollisuus - Kemia</v>
      </c>
      <c r="C45" s="266">
        <v>12</v>
      </c>
      <c r="D45" s="247" t="s">
        <v>2702</v>
      </c>
      <c r="E45" s="247" t="s">
        <v>1555</v>
      </c>
      <c r="F45" s="247" t="s">
        <v>2679</v>
      </c>
    </row>
    <row r="46" spans="1:6" x14ac:dyDescent="0.25">
      <c r="B46" s="264" t="str">
        <f t="shared" si="1"/>
        <v>Kriit. teollisuus - Metsä</v>
      </c>
      <c r="C46" s="266">
        <v>13</v>
      </c>
      <c r="D46" s="247" t="s">
        <v>2703</v>
      </c>
      <c r="E46" s="247" t="s">
        <v>1556</v>
      </c>
      <c r="F46" s="247" t="s">
        <v>2680</v>
      </c>
    </row>
    <row r="47" spans="1:6" x14ac:dyDescent="0.25">
      <c r="B47" s="264" t="str">
        <f t="shared" si="1"/>
        <v>Kriit. teollisuus - MIL</v>
      </c>
      <c r="C47" s="266">
        <v>14</v>
      </c>
      <c r="D47" s="247" t="s">
        <v>2704</v>
      </c>
      <c r="E47" s="247" t="s">
        <v>1557</v>
      </c>
      <c r="F47" s="247" t="s">
        <v>2681</v>
      </c>
    </row>
    <row r="48" spans="1:6" x14ac:dyDescent="0.25">
      <c r="B48" s="264" t="str">
        <f t="shared" si="1"/>
        <v>Kriit. teollisuus - Muovi ja kumi</v>
      </c>
      <c r="C48" s="266">
        <v>15</v>
      </c>
      <c r="D48" s="247" t="s">
        <v>2705</v>
      </c>
      <c r="E48" s="247" t="s">
        <v>1558</v>
      </c>
      <c r="F48" s="247" t="s">
        <v>2682</v>
      </c>
    </row>
    <row r="49" spans="1:6" x14ac:dyDescent="0.25">
      <c r="B49" s="264" t="str">
        <f t="shared" si="1"/>
        <v>Kriit. teollisuus - Rakennus</v>
      </c>
      <c r="C49" s="266">
        <v>16</v>
      </c>
      <c r="D49" s="247" t="s">
        <v>2706</v>
      </c>
      <c r="E49" s="247" t="s">
        <v>1559</v>
      </c>
      <c r="F49" s="247" t="s">
        <v>2683</v>
      </c>
    </row>
    <row r="50" spans="1:6" x14ac:dyDescent="0.25">
      <c r="B50" s="264" t="str">
        <f t="shared" si="1"/>
        <v>Kriit. teollisuus - Teknologia</v>
      </c>
      <c r="C50" s="266">
        <v>17</v>
      </c>
      <c r="D50" s="247" t="s">
        <v>2707</v>
      </c>
      <c r="E50" s="247" t="s">
        <v>1560</v>
      </c>
      <c r="F50" s="247" t="s">
        <v>2684</v>
      </c>
    </row>
    <row r="51" spans="1:6" x14ac:dyDescent="0.25">
      <c r="B51" s="264" t="str">
        <f t="shared" si="1"/>
        <v>Kriit. teollisuus - Muu</v>
      </c>
      <c r="C51" s="266">
        <v>18</v>
      </c>
      <c r="D51" s="247" t="s">
        <v>2708</v>
      </c>
      <c r="E51" s="247" t="s">
        <v>1561</v>
      </c>
      <c r="F51" s="247" t="s">
        <v>2685</v>
      </c>
    </row>
    <row r="52" spans="1:6" x14ac:dyDescent="0.25">
      <c r="B52" s="264" t="str">
        <f t="shared" si="1"/>
        <v>Logistiikka - Ilmakuljetus</v>
      </c>
      <c r="C52" s="266">
        <v>19</v>
      </c>
      <c r="D52" s="247" t="s">
        <v>2709</v>
      </c>
      <c r="E52" s="247" t="s">
        <v>1545</v>
      </c>
      <c r="F52" s="247" t="s">
        <v>2686</v>
      </c>
    </row>
    <row r="53" spans="1:6" x14ac:dyDescent="0.25">
      <c r="B53" s="264" t="str">
        <f t="shared" si="1"/>
        <v>Logistiikka - Maakuljetus</v>
      </c>
      <c r="C53" s="266">
        <v>20</v>
      </c>
      <c r="D53" s="247" t="s">
        <v>2710</v>
      </c>
      <c r="E53" s="247" t="s">
        <v>1546</v>
      </c>
      <c r="F53" s="247" t="s">
        <v>2687</v>
      </c>
    </row>
    <row r="54" spans="1:6" x14ac:dyDescent="0.25">
      <c r="B54" s="264" t="str">
        <f t="shared" si="1"/>
        <v>Logistiikka - Vesikuljetus</v>
      </c>
      <c r="C54" s="266">
        <v>21</v>
      </c>
      <c r="D54" s="247" t="s">
        <v>2711</v>
      </c>
      <c r="E54" s="247" t="s">
        <v>1547</v>
      </c>
      <c r="F54" s="247" t="s">
        <v>2688</v>
      </c>
    </row>
    <row r="55" spans="1:6" x14ac:dyDescent="0.25">
      <c r="B55" s="264" t="str">
        <f t="shared" si="1"/>
        <v>Logistiikka - Muu</v>
      </c>
      <c r="C55" s="266">
        <v>22</v>
      </c>
      <c r="D55" s="247" t="s">
        <v>2712</v>
      </c>
      <c r="E55" s="247" t="s">
        <v>1548</v>
      </c>
      <c r="F55" s="247" t="s">
        <v>2689</v>
      </c>
    </row>
    <row r="56" spans="1:6" x14ac:dyDescent="0.25">
      <c r="B56" s="264" t="str">
        <f t="shared" si="1"/>
        <v>Terveys - Terveydenhuolto</v>
      </c>
      <c r="C56" s="266">
        <v>23</v>
      </c>
      <c r="D56" s="247" t="s">
        <v>2713</v>
      </c>
      <c r="E56" s="247" t="s">
        <v>1549</v>
      </c>
      <c r="F56" s="247" t="s">
        <v>2690</v>
      </c>
    </row>
    <row r="57" spans="1:6" x14ac:dyDescent="0.25">
      <c r="B57" s="264" t="str">
        <f t="shared" si="1"/>
        <v>Terveys - Vesihuolto</v>
      </c>
      <c r="C57" s="266">
        <v>24</v>
      </c>
      <c r="D57" s="247" t="s">
        <v>2714</v>
      </c>
      <c r="E57" s="247" t="s">
        <v>1550</v>
      </c>
      <c r="F57" s="247" t="s">
        <v>2691</v>
      </c>
    </row>
    <row r="58" spans="1:6" x14ac:dyDescent="0.25">
      <c r="B58" s="264" t="str">
        <f t="shared" si="1"/>
        <v>Terveys - Muu</v>
      </c>
      <c r="C58" s="266">
        <v>25</v>
      </c>
      <c r="D58" s="247" t="s">
        <v>2715</v>
      </c>
      <c r="E58" s="247" t="s">
        <v>1551</v>
      </c>
      <c r="F58" s="247" t="s">
        <v>2692</v>
      </c>
    </row>
    <row r="59" spans="1:6" x14ac:dyDescent="0.25">
      <c r="B59" s="264" t="str">
        <f t="shared" si="1"/>
        <v>Tieto - Digi</v>
      </c>
      <c r="C59" s="266">
        <v>26</v>
      </c>
      <c r="D59" s="247" t="s">
        <v>2716</v>
      </c>
      <c r="E59" s="247" t="s">
        <v>1552</v>
      </c>
      <c r="F59" s="247" t="s">
        <v>2693</v>
      </c>
    </row>
    <row r="60" spans="1:6" x14ac:dyDescent="0.25">
      <c r="B60" s="264" t="str">
        <f t="shared" si="1"/>
        <v>Tieto - Media</v>
      </c>
      <c r="C60" s="266">
        <v>27</v>
      </c>
      <c r="D60" s="247" t="s">
        <v>2694</v>
      </c>
      <c r="E60" s="247" t="s">
        <v>1553</v>
      </c>
      <c r="F60" s="247" t="s">
        <v>2694</v>
      </c>
    </row>
    <row r="61" spans="1:6" x14ac:dyDescent="0.25">
      <c r="B61" s="264" t="str">
        <f t="shared" si="1"/>
        <v>Tieto - Muu</v>
      </c>
      <c r="C61" s="266">
        <v>28</v>
      </c>
      <c r="D61" s="247" t="s">
        <v>2717</v>
      </c>
      <c r="E61" s="247" t="s">
        <v>1554</v>
      </c>
      <c r="F61" s="247" t="s">
        <v>2695</v>
      </c>
    </row>
    <row r="62" spans="1:6" x14ac:dyDescent="0.25">
      <c r="A62" s="47" t="s">
        <v>2634</v>
      </c>
      <c r="B62" s="264" t="str">
        <f>VLOOKUP($C62,$C$62:$F$72,$B$1,FALSE)</f>
        <v>Kriittiset
palvelut</v>
      </c>
      <c r="C62" s="266">
        <v>1</v>
      </c>
      <c r="D62" s="247" t="s">
        <v>60</v>
      </c>
      <c r="E62" s="274" t="s">
        <v>2468</v>
      </c>
      <c r="F62" s="247" t="s">
        <v>60</v>
      </c>
    </row>
    <row r="63" spans="1:6" x14ac:dyDescent="0.25">
      <c r="B63" s="264" t="str">
        <f t="shared" ref="B63:B72" si="2">VLOOKUP($C63,$C$62:$F$72,$B$1,FALSE)</f>
        <v>Riskien
hallinta</v>
      </c>
      <c r="C63" s="266">
        <v>2</v>
      </c>
      <c r="D63" s="247" t="s">
        <v>0</v>
      </c>
      <c r="E63" s="274" t="s">
        <v>2469</v>
      </c>
      <c r="F63" s="247" t="s">
        <v>0</v>
      </c>
    </row>
    <row r="64" spans="1:6" x14ac:dyDescent="0.25">
      <c r="B64" s="264" t="str">
        <f t="shared" si="2"/>
        <v>Toimitus
ketjut</v>
      </c>
      <c r="C64" s="266">
        <v>3</v>
      </c>
      <c r="D64" s="247" t="s">
        <v>2635</v>
      </c>
      <c r="E64" s="274" t="s">
        <v>2470</v>
      </c>
      <c r="F64" s="247" t="s">
        <v>2635</v>
      </c>
    </row>
    <row r="65" spans="2:6" x14ac:dyDescent="0.25">
      <c r="B65" s="264" t="str">
        <f t="shared" si="2"/>
        <v>Laiteet
ja tieto</v>
      </c>
      <c r="C65" s="266">
        <v>4</v>
      </c>
      <c r="D65" s="247" t="s">
        <v>51</v>
      </c>
      <c r="E65" s="274" t="s">
        <v>2471</v>
      </c>
      <c r="F65" s="247" t="s">
        <v>51</v>
      </c>
    </row>
    <row r="66" spans="2:6" x14ac:dyDescent="0.25">
      <c r="B66" s="264" t="str">
        <f t="shared" si="2"/>
        <v>Pääsyn
hallinta</v>
      </c>
      <c r="C66" s="266">
        <v>5</v>
      </c>
      <c r="D66" s="247" t="s">
        <v>64</v>
      </c>
      <c r="E66" s="274" t="s">
        <v>2472</v>
      </c>
      <c r="F66" s="247" t="s">
        <v>64</v>
      </c>
    </row>
    <row r="67" spans="2:6" x14ac:dyDescent="0.25">
      <c r="B67" s="264" t="str">
        <f t="shared" si="2"/>
        <v>Kyberuhat</v>
      </c>
      <c r="C67" s="266">
        <v>6</v>
      </c>
      <c r="D67" s="247" t="s">
        <v>69</v>
      </c>
      <c r="E67" s="274" t="s">
        <v>2466</v>
      </c>
      <c r="F67" s="247" t="s">
        <v>69</v>
      </c>
    </row>
    <row r="68" spans="2:6" x14ac:dyDescent="0.25">
      <c r="B68" s="264" t="str">
        <f t="shared" si="2"/>
        <v>Tilannekuva</v>
      </c>
      <c r="C68" s="266">
        <v>7</v>
      </c>
      <c r="D68" s="247" t="s">
        <v>72</v>
      </c>
      <c r="E68" s="274" t="s">
        <v>810</v>
      </c>
      <c r="F68" s="247" t="s">
        <v>72</v>
      </c>
    </row>
    <row r="69" spans="2:6" x14ac:dyDescent="0.25">
      <c r="B69" s="264" t="str">
        <f t="shared" si="2"/>
        <v>Kyber
häiriöt</v>
      </c>
      <c r="C69" s="266">
        <v>8</v>
      </c>
      <c r="D69" t="s">
        <v>74</v>
      </c>
      <c r="E69" s="274" t="s">
        <v>2473</v>
      </c>
      <c r="F69" t="s">
        <v>74</v>
      </c>
    </row>
    <row r="70" spans="2:6" x14ac:dyDescent="0.25">
      <c r="B70" s="264" t="str">
        <f t="shared" si="2"/>
        <v>Henkilöstö</v>
      </c>
      <c r="C70" s="266">
        <v>9</v>
      </c>
      <c r="D70" t="s">
        <v>80</v>
      </c>
      <c r="E70" s="274" t="s">
        <v>2467</v>
      </c>
      <c r="F70" t="s">
        <v>80</v>
      </c>
    </row>
    <row r="71" spans="2:6" x14ac:dyDescent="0.25">
      <c r="B71" s="264" t="str">
        <f t="shared" si="2"/>
        <v>Kyber
arkkitehtuuri</v>
      </c>
      <c r="C71" s="266">
        <v>10</v>
      </c>
      <c r="D71" t="s">
        <v>2636</v>
      </c>
      <c r="E71" s="274" t="s">
        <v>2475</v>
      </c>
      <c r="F71" t="s">
        <v>2636</v>
      </c>
    </row>
    <row r="72" spans="2:6" x14ac:dyDescent="0.25">
      <c r="B72" s="264" t="str">
        <f t="shared" si="2"/>
        <v>Kehitys
ohjelma</v>
      </c>
      <c r="C72" s="266">
        <v>11</v>
      </c>
      <c r="D72" t="s">
        <v>85</v>
      </c>
      <c r="E72" s="274" t="s">
        <v>2474</v>
      </c>
      <c r="F72" t="s">
        <v>85</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tint="0.79998168889431442"/>
  </sheetPr>
  <dimension ref="A1:P52"/>
  <sheetViews>
    <sheetView showGridLines="0" zoomScaleNormal="100" workbookViewId="0">
      <selection activeCell="J13" sqref="J13"/>
    </sheetView>
  </sheetViews>
  <sheetFormatPr defaultColWidth="9.28515625" defaultRowHeight="13.5" x14ac:dyDescent="0.25"/>
  <cols>
    <col min="1" max="2" width="1.640625" style="303" customWidth="1"/>
    <col min="3" max="3" width="2.640625" style="303" customWidth="1"/>
    <col min="4" max="4" width="2.640625" style="518" customWidth="1"/>
    <col min="5" max="5" width="38.7109375" style="303" customWidth="1"/>
    <col min="6" max="6" width="3.640625" style="303" customWidth="1"/>
    <col min="7" max="7" width="16.640625" style="451" customWidth="1"/>
    <col min="8" max="8" width="2.640625" style="519" customWidth="1"/>
    <col min="9" max="9" width="14.640625" style="451" customWidth="1"/>
    <col min="10" max="10" width="45.640625" style="520" customWidth="1"/>
    <col min="11" max="11" width="1.640625" style="303" customWidth="1"/>
    <col min="12" max="12" width="1.640625" style="521" customWidth="1"/>
    <col min="13" max="13" width="1.640625" style="585" customWidth="1"/>
    <col min="14" max="14" width="1.640625" style="521" customWidth="1"/>
    <col min="15" max="15" width="9.0703125" style="301" customWidth="1"/>
    <col min="16" max="16" width="9.0703125" style="529" customWidth="1"/>
    <col min="17" max="17" width="9.0703125" style="303" customWidth="1"/>
    <col min="18" max="16384" width="9.28515625" style="303"/>
  </cols>
  <sheetData>
    <row r="1" spans="1:16" x14ac:dyDescent="0.25">
      <c r="A1" s="297"/>
      <c r="B1" s="297"/>
      <c r="C1" s="297"/>
      <c r="D1" s="297"/>
      <c r="E1" s="297"/>
      <c r="F1" s="297"/>
      <c r="G1" s="438"/>
      <c r="H1" s="439"/>
      <c r="I1" s="438"/>
      <c r="J1" s="438"/>
      <c r="K1" s="297"/>
      <c r="L1" s="297"/>
      <c r="M1" s="528"/>
      <c r="N1" s="297"/>
    </row>
    <row r="2" spans="1:16" s="448" customFormat="1" ht="25" customHeight="1" x14ac:dyDescent="0.3">
      <c r="A2" s="441"/>
      <c r="B2" s="305"/>
      <c r="C2" s="442" t="s">
        <v>0</v>
      </c>
      <c r="D2" s="308"/>
      <c r="E2" s="443"/>
      <c r="F2" s="443"/>
      <c r="G2" s="443"/>
      <c r="H2" s="309"/>
      <c r="I2" s="443"/>
      <c r="J2" s="444"/>
      <c r="K2" s="310"/>
      <c r="L2" s="441"/>
      <c r="M2" s="530"/>
      <c r="N2" s="441"/>
      <c r="O2" s="446"/>
      <c r="P2" s="468"/>
    </row>
    <row r="3" spans="1:16" ht="25" customHeight="1" x14ac:dyDescent="0.35">
      <c r="A3" s="297"/>
      <c r="B3" s="323"/>
      <c r="C3" s="321" t="str">
        <f>IF(VLOOKUP($C$2,Languages!$A:$D,1,TRUE)=$C$2,VLOOKUP($C$2,Languages!$A:$D,Kybermittari!$C$7,TRUE),NA())</f>
        <v>Riskienhallinta</v>
      </c>
      <c r="D3" s="449"/>
      <c r="E3" s="450"/>
      <c r="H3" s="452"/>
      <c r="J3" s="453"/>
      <c r="K3" s="327"/>
      <c r="L3" s="297"/>
      <c r="M3" s="531"/>
      <c r="N3" s="297"/>
    </row>
    <row r="4" spans="1:16" ht="10" customHeight="1" x14ac:dyDescent="0.25">
      <c r="A4" s="297"/>
      <c r="B4" s="323"/>
      <c r="C4" s="455"/>
      <c r="D4" s="325"/>
      <c r="E4" s="325"/>
      <c r="F4" s="325"/>
      <c r="G4" s="325"/>
      <c r="H4" s="326"/>
      <c r="I4" s="326"/>
      <c r="J4" s="453"/>
      <c r="K4" s="327"/>
      <c r="L4" s="297"/>
      <c r="M4" s="531"/>
      <c r="N4" s="297"/>
    </row>
    <row r="5" spans="1:16" s="351" customFormat="1" ht="56.5" customHeight="1" x14ac:dyDescent="0.25">
      <c r="A5" s="344"/>
      <c r="B5" s="532"/>
      <c r="C5" s="758" t="str">
        <f>IF(VLOOKUP(CONCATENATE(C2,"-0"),Languages!$A:$D,1,TRUE)=CONCATENATE(C2,"-0"),VLOOKUP(CONCATENATE(C2,"-0"),Languages!$A:$D,Kybermittari!$C$7,TRUE),NA())</f>
        <v>Riskienhallinnan osiossa arvioidaan organisaation kykyä tunnistaa ja hallita toimintaansa kohdistuvia kyberturvallisuusriskejä (eli kyberriskejä). Organisaation tulee luoda ja ylläpitää koko organisaation kattavaa riskienhallintaohjelmaa tunnistaakseen, arvioidakseen ja hallitakseen kyberriskejä. Riskienhallintaohjelman tulee kattaa kaikki organisaation liiketoimintayksiköt, tytäryhtiöt, toiminnan kannalta kriittisen infrastruktuurin ja tärkeimmät sidosryhmät).</v>
      </c>
      <c r="D5" s="758"/>
      <c r="E5" s="758"/>
      <c r="F5" s="758"/>
      <c r="G5" s="758"/>
      <c r="H5" s="758"/>
      <c r="I5" s="758"/>
      <c r="J5" s="758"/>
      <c r="K5" s="356"/>
      <c r="L5" s="344"/>
      <c r="M5" s="533"/>
      <c r="N5" s="344"/>
      <c r="O5" s="349"/>
      <c r="P5" s="529"/>
    </row>
    <row r="6" spans="1:16" s="351" customFormat="1" ht="20" customHeight="1" x14ac:dyDescent="0.25">
      <c r="A6" s="344"/>
      <c r="B6" s="532"/>
      <c r="C6" s="456">
        <v>1</v>
      </c>
      <c r="D6" s="457" t="s">
        <v>2</v>
      </c>
      <c r="E6" s="458" t="str">
        <f>IF(VLOOKUP(CONCATENATE($C$2,"-",C6),Languages!$A:$D,1,TRUE)=CONCATENATE($C$2,"-",C6),VLOOKUP(CONCATENATE($C$2,"-",C6),Languages!$A:$D,Kybermittari!$C$7,TRUE),NA())</f>
        <v>Kyberturvallisuusriskien hallinta</v>
      </c>
      <c r="F6" s="374"/>
      <c r="G6" s="534"/>
      <c r="H6" s="534"/>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c r="O6" s="349"/>
      <c r="P6" s="529"/>
    </row>
    <row r="7" spans="1:16" s="351" customFormat="1" ht="20" customHeight="1" x14ac:dyDescent="0.25">
      <c r="A7" s="344"/>
      <c r="B7" s="532"/>
      <c r="C7" s="456">
        <v>2</v>
      </c>
      <c r="D7" s="457" t="s">
        <v>2</v>
      </c>
      <c r="E7" s="458" t="str">
        <f>IF(VLOOKUP(CONCATENATE($C$2,"-",C7),Languages!$A:$D,1,TRUE)=CONCATENATE($C$2,"-",C7),VLOOKUP(CONCATENATE($C$2,"-",C7),Languages!$A:$D,Kybermittari!$C$7,TRUE),NA())</f>
        <v>Strategia kyberturvallisuusriskien hallintaan</v>
      </c>
      <c r="F7" s="374"/>
      <c r="G7" s="534"/>
      <c r="H7" s="534"/>
      <c r="I7" s="459" t="str">
        <f ca="1">VLOOKUP(VLOOKUP(CONCATENATE($C$2,"-",$C7),Data!$K:$O,5,FALSE),Parameters!$C$7:$F$10,Kybermittari!$C$7,FALSE)</f>
        <v>Kypsyystaso 1</v>
      </c>
      <c r="J7" s="452" t="str">
        <f ca="1">VLOOKUP(VLOOKUP(CONCATENATE($C$2),Data!$K:$O,5,FALSE),Parameters!$C$7:$F$10,Kybermittari!$C$7,FALSE)</f>
        <v>Kypsyystaso 0</v>
      </c>
      <c r="K7" s="356"/>
      <c r="L7" s="344"/>
      <c r="M7" s="533"/>
      <c r="N7" s="344"/>
      <c r="O7" s="349"/>
      <c r="P7" s="529"/>
    </row>
    <row r="8" spans="1:16" s="351" customFormat="1" ht="20" customHeight="1" x14ac:dyDescent="0.25">
      <c r="A8" s="344"/>
      <c r="B8" s="532"/>
      <c r="C8" s="456">
        <v>3</v>
      </c>
      <c r="D8" s="457" t="s">
        <v>2</v>
      </c>
      <c r="E8" s="458" t="str">
        <f>IF(VLOOKUP(CONCATENATE($C$2,"-",C8),Languages!$A:$D,1,TRUE)=CONCATENATE($C$2,"-",C8),VLOOKUP(CONCATENATE($C$2,"-",C8),Languages!$A:$D,Kybermittari!$C$7,TRUE),NA())</f>
        <v>Yleisiä hallintatoimia</v>
      </c>
      <c r="F8" s="374"/>
      <c r="G8" s="534"/>
      <c r="H8" s="534"/>
      <c r="I8" s="459" t="str">
        <f ca="1">VLOOKUP(VLOOKUP(CONCATENATE($C$2,"-",$C8),Data!$K:$O,5,FALSE),Parameters!$C$7:$F$10,Kybermittari!$C$7,FALSE)</f>
        <v>Kypsyystaso 1</v>
      </c>
      <c r="J8" s="374"/>
      <c r="K8" s="356"/>
      <c r="L8" s="344"/>
      <c r="M8" s="533"/>
      <c r="N8" s="344"/>
      <c r="O8" s="349"/>
      <c r="P8" s="529"/>
    </row>
    <row r="9" spans="1:16" s="343" customFormat="1" ht="30" customHeight="1" x14ac:dyDescent="0.3">
      <c r="A9" s="332"/>
      <c r="B9" s="461"/>
      <c r="C9" s="336">
        <v>1</v>
      </c>
      <c r="D9" s="462" t="str">
        <f>IF(VLOOKUP(CONCATENATE($C$2,"-",C9),Languages!$A:$D,1,TRUE)=CONCATENATE($C$2,"-",C9),VLOOKUP(CONCATENATE($C$2,"-",C9),Languages!$A:$D,Kybermittari!$C$7,TRUE),NA())</f>
        <v>Kyberturvallisuusriskien hallinta</v>
      </c>
      <c r="E9" s="336"/>
      <c r="F9" s="463"/>
      <c r="G9" s="463"/>
      <c r="H9" s="464"/>
      <c r="I9" s="464"/>
      <c r="J9" s="465"/>
      <c r="K9" s="466"/>
      <c r="L9" s="467"/>
      <c r="M9" s="531"/>
      <c r="N9" s="332"/>
      <c r="O9" s="341"/>
      <c r="P9" s="468"/>
    </row>
    <row r="10" spans="1:16" s="351" customFormat="1" ht="96" customHeight="1" x14ac:dyDescent="0.25">
      <c r="A10" s="344"/>
      <c r="B10" s="345"/>
      <c r="C10" s="753" t="str">
        <f>IF(VLOOKUP(CONCATENATE($C$2,"-",$C9,"-0"),Languages!$A:$D,1,TRUE)=CONCATENATE($C$2,"-",$C9,"-0"),VLOOKUP(CONCATENATE($C$2,"-",$C9,"-0"),Languages!$A:$D,Kybermittari!$C$7,TRUE),NA())</f>
        <v>Kyberriskien hallinta tarkoittaa toimia kyberriskien tunnistamiseksi, arvioimiseksi, seuraamiseksi ja hallitsemiseksi riskienhallintatoimenpitein. Riskienhallintatoimenpiteitä ovat esimerkiksi riskin hyväksyminen, välttäminen, pienentäminen tai siirtäminen. Kyberriskien hallintaa tulee toteuttaa osana organisaation yleistä riskienhallintaa huomioiden organisaation laajemmat tavoitteet ja liiketoiminnan tarpeet. Avainasemassa on koko organisaation kattava kyberriskienhallinnan strategia, joka huomioi edellä luetellut asiat. Riskien luokittelu auttaa organisaatiota käsittelemään ja seuraamaan riskejä johdonmukaisesti. Riskien luokittelua tukee riskirekisteri (joka on listaus organisaation tunnistamista riskeistä ja riskeihin liittyvistä tiedoista). Riskirekisteri on keskeinen osa laajempaa kyberturvallisuuden hallintaa ja siihen viitataankin useassa muussakin Kybermittarin osiossa [kts. esimerkiksi osiot SITUATION tai RESPONSE].</v>
      </c>
      <c r="D10" s="753"/>
      <c r="E10" s="753"/>
      <c r="F10" s="753"/>
      <c r="G10" s="753"/>
      <c r="H10" s="753"/>
      <c r="I10" s="753"/>
      <c r="J10" s="753"/>
      <c r="K10" s="346"/>
      <c r="L10" s="344"/>
      <c r="M10" s="533"/>
      <c r="N10" s="344"/>
      <c r="O10" s="349"/>
      <c r="P10" s="529"/>
    </row>
    <row r="11" spans="1:16" s="544" customFormat="1" ht="20" customHeight="1" x14ac:dyDescent="0.25">
      <c r="A11" s="535"/>
      <c r="B11" s="536"/>
      <c r="C11" s="537" t="str">
        <f>IF(VLOOKUP("GEN-LEVEL",Languages!$A:$D,1,TRUE)="GEN-LEVEL",VLOOKUP("GEN-LEVEL",Languages!$A:$D,Kybermittari!$C$7,TRUE),NA())</f>
        <v>Taso</v>
      </c>
      <c r="D11" s="537"/>
      <c r="E11" s="538" t="str">
        <f>IF(VLOOKUP("GEN-PRACTICE",Languages!$A:$D,1,TRUE)="GEN-PRACTICE",VLOOKUP("GEN-PRACTICE",Languages!$A:$D,Kybermittari!$C$7,TRUE),NA())</f>
        <v>Käytäntö</v>
      </c>
      <c r="F11" s="539"/>
      <c r="G11" s="540"/>
      <c r="H11" s="541"/>
      <c r="I11" s="538" t="str">
        <f>IF(VLOOKUP("GEN-ANSWER",Languages!$A:$D,1,TRUE)="GEN-ANSWER",VLOOKUP("GEN-ANSWER",Languages!$A:$D,Kybermittari!$C$7,TRUE),NA())</f>
        <v>Vastaus</v>
      </c>
      <c r="J11" s="540" t="str">
        <f>IF(VLOOKUP("GEN-COMMENT",Languages!$A:$D,1,TRUE)="GEN-COMMENT",VLOOKUP("GEN-COMMENT",Languages!$A:$D,Kybermittari!$C$7,TRUE),NA())</f>
        <v>Kommentti ja viittaukset</v>
      </c>
      <c r="K11" s="542"/>
      <c r="L11" s="535"/>
      <c r="M11" s="531"/>
      <c r="N11" s="535"/>
      <c r="O11" s="543"/>
      <c r="P11" s="468"/>
    </row>
    <row r="12" spans="1:16" s="547" customFormat="1" ht="10" customHeight="1" x14ac:dyDescent="0.3">
      <c r="A12" s="483"/>
      <c r="B12" s="476"/>
      <c r="C12" s="487"/>
      <c r="D12" s="487"/>
      <c r="E12" s="488"/>
      <c r="F12" s="489"/>
      <c r="G12" s="490"/>
      <c r="H12" s="491"/>
      <c r="I12" s="488"/>
      <c r="J12" s="490"/>
      <c r="K12" s="482"/>
      <c r="L12" s="483"/>
      <c r="M12" s="545"/>
      <c r="N12" s="483"/>
      <c r="O12" s="546"/>
      <c r="P12" s="468"/>
    </row>
    <row r="13" spans="1:16" s="495" customFormat="1" ht="35" customHeight="1" x14ac:dyDescent="0.3">
      <c r="A13" s="469"/>
      <c r="B13" s="757"/>
      <c r="C13" s="759">
        <v>1</v>
      </c>
      <c r="D13" s="492" t="s">
        <v>7</v>
      </c>
      <c r="E13" s="750" t="str">
        <f>IF(VLOOKUP(CONCATENATE($C$2,"-",$D13),Languages!$A:$D,1,TRUE)=CONCATENATE($C$2,"-",$D13),VLOOKUP(CONCATENATE($C$2,"-",$D13),Languages!$A:$D,Kybermittari!$C$7,TRUE),NA())</f>
        <v>Organisaatio tunnistaa ja dokumentoi toimintaansa kohdistuvia kyberriskejä - vaikka ei välttämättä systemaattisesti ja kaiken kattavasti.</v>
      </c>
      <c r="F13" s="750"/>
      <c r="G13" s="750"/>
      <c r="H13" s="493">
        <f t="shared" ref="H13:H24" si="0">IFERROR(INT(LEFT($I13,1)),0)</f>
        <v>0</v>
      </c>
      <c r="I13" s="54"/>
      <c r="J13" s="526"/>
      <c r="K13" s="494"/>
      <c r="L13" s="469"/>
      <c r="M13" s="545"/>
      <c r="N13" s="469"/>
      <c r="P13" s="548"/>
    </row>
    <row r="14" spans="1:16" s="495" customFormat="1" ht="45" customHeight="1" x14ac:dyDescent="0.3">
      <c r="A14" s="469"/>
      <c r="B14" s="757"/>
      <c r="C14" s="761"/>
      <c r="D14" s="492" t="s">
        <v>9</v>
      </c>
      <c r="E14" s="750" t="str">
        <f>IF(VLOOKUP(CONCATENATE($C$2,"-",$D14),Languages!$A:$D,1,TRUE)=CONCATENATE($C$2,"-",$D14),VLOOKUP(CONCATENATE($C$2,"-",$D14),Languages!$A:$D,Kybermittari!$C$7,TRUE),NA())</f>
        <v>Organisaatio hallitsee toimintaansa kohdistuvia kyberriskejä pienentämällä, hyväksymällä, välttämällä tai siirtämällä riskejä (eli toteuttamalla erityisiä riskienhallintatoimenpiteitä) - ainakin tapauskohtaisesti.</v>
      </c>
      <c r="F14" s="750"/>
      <c r="G14" s="750"/>
      <c r="H14" s="493">
        <f t="shared" si="0"/>
        <v>0</v>
      </c>
      <c r="I14" s="54"/>
      <c r="J14" s="526"/>
      <c r="K14" s="494"/>
      <c r="L14" s="469"/>
      <c r="M14" s="545"/>
      <c r="N14" s="469"/>
      <c r="P14" s="548"/>
    </row>
    <row r="15" spans="1:16" s="501" customFormat="1" ht="10" customHeight="1" x14ac:dyDescent="0.3">
      <c r="A15" s="549"/>
      <c r="B15" s="476"/>
      <c r="C15" s="498"/>
      <c r="D15" s="499"/>
      <c r="E15" s="500"/>
      <c r="H15" s="499"/>
      <c r="I15" s="502"/>
      <c r="J15" s="502"/>
      <c r="K15" s="550"/>
      <c r="L15" s="549"/>
      <c r="M15" s="545"/>
      <c r="N15" s="549"/>
      <c r="P15" s="551"/>
    </row>
    <row r="16" spans="1:16" s="495" customFormat="1" ht="60" customHeight="1" x14ac:dyDescent="0.3">
      <c r="A16" s="469"/>
      <c r="B16" s="757"/>
      <c r="C16" s="759">
        <v>2</v>
      </c>
      <c r="D16" s="492" t="s">
        <v>10</v>
      </c>
      <c r="E16" s="750" t="str">
        <f>IF(VLOOKUP(CONCATENATE($C$2,"-",$D16),Languages!$A:$D,1,TRUE)=CONCATENATE($C$2,"-",$D16),VLOOKUP(CONCATENATE($C$2,"-",$D16),Languages!$A:$D,Kybermittari!$C$7,TRUE),NA())</f>
        <v>Organisaatio toteuttaa riskiarviointeja tai -kartoituksia, joiden avulla se tunnistaa kyberriskejä. Arviointeja toteutetaan organisaation määrittelemien kriteereiden mukaisesti (esim. määräajoin, järjestelmämuutosten yhteydessä tai uhkaympäristön muuttuessa).</v>
      </c>
      <c r="F16" s="750"/>
      <c r="G16" s="750"/>
      <c r="H16" s="493">
        <f t="shared" si="0"/>
        <v>0</v>
      </c>
      <c r="I16" s="54"/>
      <c r="J16" s="526"/>
      <c r="K16" s="494"/>
      <c r="L16" s="469"/>
      <c r="M16" s="545"/>
      <c r="N16" s="469"/>
      <c r="P16" s="548"/>
    </row>
    <row r="17" spans="1:16" s="495" customFormat="1" ht="35" customHeight="1" x14ac:dyDescent="0.3">
      <c r="A17" s="469"/>
      <c r="B17" s="757"/>
      <c r="C17" s="760"/>
      <c r="D17" s="492" t="s">
        <v>11</v>
      </c>
      <c r="E17" s="756" t="str">
        <f>IF(VLOOKUP(CONCATENATE($C$2,"-",$D17),Languages!$A:$D,1,TRUE)=CONCATENATE($C$2,"-",$D17),VLOOKUP(CONCATENATE($C$2,"-",$D17),Languages!$A:$D,Kybermittari!$C$7,TRUE),NA())</f>
        <v>Tunnistetut riskit kirjataan riskirekisteriin (joka on virallinen listaus organisaation tunnistamista riskeistä ja riskeihin liittyvistä tiedoista).</v>
      </c>
      <c r="F17" s="756"/>
      <c r="G17" s="756"/>
      <c r="H17" s="493">
        <f t="shared" si="0"/>
        <v>0</v>
      </c>
      <c r="I17" s="54"/>
      <c r="J17" s="526"/>
      <c r="K17" s="494"/>
      <c r="L17" s="469"/>
      <c r="M17" s="545"/>
      <c r="N17" s="469"/>
      <c r="P17" s="548"/>
    </row>
    <row r="18" spans="1:16" s="495" customFormat="1" ht="46" customHeight="1" x14ac:dyDescent="0.3">
      <c r="A18" s="469"/>
      <c r="B18" s="757"/>
      <c r="C18" s="760"/>
      <c r="D18" s="503" t="s">
        <v>12</v>
      </c>
      <c r="E18" s="756" t="str">
        <f>IF(VLOOKUP(CONCATENATE($C$2,"-",$D18),Languages!$A:$D,1,TRUE)=CONCATENATE($C$2,"-",$D18),VLOOKUP(CONCATENATE($C$2,"-",$D18),Languages!$A:$D,Kybermittari!$C$7,TRUE),NA())</f>
        <v>Riskit analysoidaan ja arvioidaan, jotta voidaan valita ja priorisoida sopivat riskienhallintatoimenpiteet [kts. RISK-2b].</v>
      </c>
      <c r="F18" s="756"/>
      <c r="G18" s="756"/>
      <c r="H18" s="493">
        <f t="shared" si="0"/>
        <v>0</v>
      </c>
      <c r="I18" s="54"/>
      <c r="J18" s="527"/>
      <c r="K18" s="504"/>
      <c r="L18" s="524"/>
      <c r="M18" s="545"/>
      <c r="N18" s="524"/>
      <c r="P18" s="548"/>
    </row>
    <row r="19" spans="1:16" s="495" customFormat="1" ht="47" customHeight="1" x14ac:dyDescent="0.3">
      <c r="A19" s="469"/>
      <c r="B19" s="757"/>
      <c r="C19" s="761"/>
      <c r="D19" s="503" t="s">
        <v>13</v>
      </c>
      <c r="E19" s="756" t="str">
        <f>IF(VLOOKUP(CONCATENATE($C$2,"-",$D19),Languages!$A:$D,1,TRUE)=CONCATENATE($C$2,"-",$D19),VLOOKUP(CONCATENATE($C$2,"-",$D19),Languages!$A:$D,Kybermittari!$C$7,TRUE),NA())</f>
        <v>Organisaatio seuraa riskien kehittymistä, jotta se voi varmistua valittujen riskienhallintatoimenpiteiden toteuttamisesta ja asettamiensa tavoitteiden saavuttamisesta [kts. PROGRAM-1b].</v>
      </c>
      <c r="F19" s="756"/>
      <c r="G19" s="756"/>
      <c r="H19" s="493">
        <f t="shared" si="0"/>
        <v>0</v>
      </c>
      <c r="I19" s="54"/>
      <c r="J19" s="527"/>
      <c r="K19" s="504"/>
      <c r="L19" s="524"/>
      <c r="M19" s="545"/>
      <c r="N19" s="524"/>
      <c r="P19" s="548"/>
    </row>
    <row r="20" spans="1:16" s="501" customFormat="1" ht="10" customHeight="1" x14ac:dyDescent="0.3">
      <c r="A20" s="549"/>
      <c r="B20" s="476"/>
      <c r="C20" s="498"/>
      <c r="D20" s="499"/>
      <c r="E20" s="500"/>
      <c r="H20" s="499"/>
      <c r="I20" s="502"/>
      <c r="J20" s="502"/>
      <c r="K20" s="550"/>
      <c r="L20" s="524"/>
      <c r="M20" s="545"/>
      <c r="N20" s="524"/>
      <c r="P20" s="551"/>
    </row>
    <row r="21" spans="1:16" s="495" customFormat="1" ht="35" customHeight="1" x14ac:dyDescent="0.3">
      <c r="A21" s="469"/>
      <c r="B21" s="755"/>
      <c r="C21" s="762">
        <v>3</v>
      </c>
      <c r="D21" s="503" t="s">
        <v>14</v>
      </c>
      <c r="E21" s="756" t="str">
        <f>IF(VLOOKUP(CONCATENATE($C$2,"-",$D21),Languages!$A:$D,1,TRUE)=CONCATENATE($C$2,"-",$D21),VLOOKUP(CONCATENATE($C$2,"-",$D21),Languages!$A:$D,Kybermittari!$C$7,TRUE),NA())</f>
        <v>Organisaatio toteuttaa riskiarviointeja tai -kartoituksia, jotka kattavat kaikki toiminnan osa-alueen toimintavarmuuden kannalta tärkeät suojattavat kohteet.</v>
      </c>
      <c r="F21" s="756"/>
      <c r="G21" s="756"/>
      <c r="H21" s="493">
        <f t="shared" si="0"/>
        <v>0</v>
      </c>
      <c r="I21" s="54"/>
      <c r="J21" s="527"/>
      <c r="K21" s="504"/>
      <c r="L21" s="524"/>
      <c r="M21" s="545"/>
      <c r="N21" s="524"/>
      <c r="P21" s="548"/>
    </row>
    <row r="22" spans="1:16" s="495" customFormat="1" ht="47" customHeight="1" x14ac:dyDescent="0.3">
      <c r="A22" s="469"/>
      <c r="B22" s="755"/>
      <c r="C22" s="763"/>
      <c r="D22" s="503" t="s">
        <v>15</v>
      </c>
      <c r="E22" s="756" t="str">
        <f>IF(VLOOKUP(CONCATENATE($C$2,"-",$D22),Languages!$A:$D,1,TRUE)=CONCATENATE($C$2,"-",$D22),VLOOKUP(CONCATENATE($C$2,"-",$D22),Languages!$A:$D,Kybermittari!$C$7,TRUE),NA())</f>
        <v>Organisaation riskienhallintaohjelman osana on luoda ja ylläpitää johtotason riskienhallintapolitiikka (tai vastaava ohjeistus), jonka kautta toteutuu organisaation laajempi riskienhallintastrategia.</v>
      </c>
      <c r="F22" s="756"/>
      <c r="G22" s="756"/>
      <c r="H22" s="493">
        <f t="shared" si="0"/>
        <v>0</v>
      </c>
      <c r="I22" s="54"/>
      <c r="J22" s="527"/>
      <c r="K22" s="504"/>
      <c r="L22" s="524"/>
      <c r="M22" s="545"/>
      <c r="N22" s="524"/>
      <c r="P22" s="548"/>
    </row>
    <row r="23" spans="1:16" s="495" customFormat="1" ht="35" customHeight="1" x14ac:dyDescent="0.3">
      <c r="A23" s="469"/>
      <c r="B23" s="755"/>
      <c r="C23" s="763"/>
      <c r="D23" s="503" t="s">
        <v>16</v>
      </c>
      <c r="E23" s="756" t="str">
        <f>IF(VLOOKUP(CONCATENATE($C$2,"-",$D23),Languages!$A:$D,1,TRUE)=CONCATENATE($C$2,"-",$D23),VLOOKUP(CONCATENATE($C$2,"-",$D23),Languages!$A:$D,Kybermittari!$C$7,TRUE),NA())</f>
        <v>Organisaatio käyttää ajan tasalla olevaa kyberarkkitehtuuria [kts. ARCHITECTURE-1c] ohjaamaan kyberriskien analysointia ja arviointia.</v>
      </c>
      <c r="F23" s="756"/>
      <c r="G23" s="756"/>
      <c r="H23" s="493">
        <f t="shared" si="0"/>
        <v>0</v>
      </c>
      <c r="I23" s="54"/>
      <c r="J23" s="527"/>
      <c r="K23" s="504"/>
      <c r="L23" s="524"/>
      <c r="M23" s="545"/>
      <c r="N23" s="524"/>
      <c r="P23" s="548"/>
    </row>
    <row r="24" spans="1:16" s="495" customFormat="1" ht="35" customHeight="1" x14ac:dyDescent="0.3">
      <c r="A24" s="469"/>
      <c r="B24" s="755"/>
      <c r="C24" s="764"/>
      <c r="D24" s="503" t="s">
        <v>18</v>
      </c>
      <c r="E24" s="756" t="str">
        <f>IF(VLOOKUP(CONCATENATE($C$2,"-",$D24),Languages!$A:$D,1,TRUE)=CONCATENATE($C$2,"-",$D24),VLOOKUP(CONCATENATE($C$2,"-",$D24),Languages!$A:$D,Kybermittari!$C$7,TRUE),NA())</f>
        <v>Riskirekisteri kattaa kaikki riskiarvioiden kautta tunnistetut kyberriskit ja sitä hyödynnetään aktiivisesti riskienhallintatoimenpiteiden tukena.</v>
      </c>
      <c r="F24" s="756"/>
      <c r="G24" s="756"/>
      <c r="H24" s="493">
        <f t="shared" si="0"/>
        <v>0</v>
      </c>
      <c r="I24" s="54"/>
      <c r="J24" s="527"/>
      <c r="K24" s="504"/>
      <c r="L24" s="524"/>
      <c r="M24" s="545"/>
      <c r="N24" s="524"/>
      <c r="P24" s="548"/>
    </row>
    <row r="25" spans="1:16" s="343" customFormat="1" ht="30" customHeight="1" x14ac:dyDescent="0.3">
      <c r="A25" s="332"/>
      <c r="B25" s="461"/>
      <c r="C25" s="462">
        <v>2</v>
      </c>
      <c r="D25" s="462" t="str">
        <f>IF(VLOOKUP(CONCATENATE($C$2,"-",C25),Languages!$A:$D,1,TRUE)=CONCATENATE($C$2,"-",C25),VLOOKUP(CONCATENATE($C$2,"-",C25),Languages!$A:$D,Kybermittari!$C$7,TRUE),NA())</f>
        <v>Strategia kyberturvallisuusriskien hallintaan</v>
      </c>
      <c r="E25" s="336"/>
      <c r="F25" s="506"/>
      <c r="G25" s="506"/>
      <c r="H25" s="506" t="str">
        <f t="shared" ref="H25" si="1">IFERROR(INT(LEFT($I25,1)),"")</f>
        <v/>
      </c>
      <c r="I25" s="506"/>
      <c r="J25" s="507"/>
      <c r="K25" s="339"/>
      <c r="L25" s="340"/>
      <c r="M25" s="533"/>
      <c r="N25" s="340"/>
      <c r="O25" s="341"/>
      <c r="P25" s="468"/>
    </row>
    <row r="26" spans="1:16" ht="90" customHeight="1" x14ac:dyDescent="0.25">
      <c r="A26" s="297"/>
      <c r="B26" s="552"/>
      <c r="C26" s="753" t="str">
        <f>IF(VLOOKUP(CONCATENATE($C$2,"-",$C25,"-0"),Languages!$A:$D,1,TRUE)=CONCATENATE($C$2,"-",$C25,"-0"),VLOOKUP(CONCATENATE($C$2,"-",$C25,"-0"),Languages!$A:$D,Kybermittari!$C$7,TRUE),NA())</f>
        <v>Kyberriskienhallintastrategia on organisaation ylätason strategia, joka määrittää organisaation riskinottohalukkuuden ja asettaa suunnan kyberriskien arvioinnille ja hallintatoimien priorisoinnille. Kyberriskienhallintastrategia kattaa mm. menetelmät kyberriskien arviointiin, strategian riskien monitorointiin sekä organisaation kyberturvallisuuden hallintamallin ("cybersecurity governance") määrittelyn. Strategiaan kuuluu olennaisena osana määrittää organisaatiotasoiset riskien arviointikriteerit (esim. riskirajat, käytettävissä olevat riskienhallintatoimenpiteet), jotka puolestaan ohjaavat koko organisaation kyberturvallisuusohjelmaa [kts. PROGRAM]. Kyberriskienhallintastrategian tulee olla linjassa organisaation yleisen riskienhallintastrategian kanssa, jotta voidaan varmistua että kyberriskejä hallitaan osana organisaation laajempia päämääriä ja tavoitteita.</v>
      </c>
      <c r="D26" s="753"/>
      <c r="E26" s="753"/>
      <c r="F26" s="753"/>
      <c r="G26" s="753"/>
      <c r="H26" s="753"/>
      <c r="I26" s="753"/>
      <c r="J26" s="753"/>
      <c r="K26" s="553"/>
      <c r="L26" s="422"/>
      <c r="M26" s="533"/>
      <c r="N26" s="422"/>
    </row>
    <row r="27" spans="1:16" s="556" customFormat="1" ht="20" customHeight="1" x14ac:dyDescent="0.25">
      <c r="A27" s="554"/>
      <c r="B27" s="536"/>
      <c r="C27" s="537" t="str">
        <f>IF(VLOOKUP("GEN-LEVEL",Languages!$A:$D,1,TRUE)="GEN-LEVEL",VLOOKUP("GEN-LEVEL",Languages!$A:$D,Kybermittari!$C$7,TRUE),NA())</f>
        <v>Taso</v>
      </c>
      <c r="D27" s="537"/>
      <c r="E27" s="538" t="str">
        <f>IF(VLOOKUP("GEN-PRACTICE",Languages!$A:$D,1,TRUE)="GEN-PRACTICE",VLOOKUP("GEN-PRACTICE",Languages!$A:$D,Kybermittari!$C$7,TRUE),NA())</f>
        <v>Käytäntö</v>
      </c>
      <c r="F27" s="539"/>
      <c r="G27" s="540"/>
      <c r="H27" s="541"/>
      <c r="I27" s="538" t="str">
        <f>IF(VLOOKUP("GEN-ANSWER",Languages!$A:$D,1,TRUE)="GEN-ANSWER",VLOOKUP("GEN-ANSWER",Languages!$A:$D,Kybermittari!$C$7,TRUE),NA())</f>
        <v>Vastaus</v>
      </c>
      <c r="J27" s="540" t="str">
        <f>IF(VLOOKUP("GEN-COMMENT",Languages!$A:$D,1,TRUE)="GEN-COMMENT",VLOOKUP("GEN-COMMENT",Languages!$A:$D,Kybermittari!$C$7,TRUE),NA())</f>
        <v>Kommentti ja viittaukset</v>
      </c>
      <c r="K27" s="542"/>
      <c r="L27" s="535"/>
      <c r="M27" s="531"/>
      <c r="N27" s="554"/>
      <c r="O27" s="555"/>
      <c r="P27" s="468"/>
    </row>
    <row r="28" spans="1:16" s="486" customFormat="1" ht="10" customHeight="1" x14ac:dyDescent="0.3">
      <c r="A28" s="523"/>
      <c r="B28" s="476"/>
      <c r="C28" s="487"/>
      <c r="D28" s="487"/>
      <c r="E28" s="488"/>
      <c r="F28" s="489"/>
      <c r="G28" s="490"/>
      <c r="H28" s="491"/>
      <c r="I28" s="488"/>
      <c r="J28" s="490"/>
      <c r="K28" s="482"/>
      <c r="L28" s="483"/>
      <c r="M28" s="545"/>
      <c r="N28" s="523"/>
      <c r="O28" s="484"/>
      <c r="P28" s="468"/>
    </row>
    <row r="29" spans="1:16" s="486" customFormat="1" ht="20" customHeight="1" x14ac:dyDescent="0.3">
      <c r="A29" s="523"/>
      <c r="B29" s="476"/>
      <c r="C29" s="557">
        <v>1</v>
      </c>
      <c r="D29" s="558"/>
      <c r="E29" s="559"/>
      <c r="F29" s="560"/>
      <c r="G29" s="561"/>
      <c r="H29" s="562"/>
      <c r="I29" s="559"/>
      <c r="J29" s="563"/>
      <c r="K29" s="482"/>
      <c r="L29" s="483"/>
      <c r="M29" s="545"/>
      <c r="N29" s="523"/>
      <c r="O29" s="484"/>
      <c r="P29" s="468"/>
    </row>
    <row r="30" spans="1:16" s="486" customFormat="1" ht="10" customHeight="1" x14ac:dyDescent="0.3">
      <c r="A30" s="523"/>
      <c r="B30" s="476"/>
      <c r="C30" s="564"/>
      <c r="D30" s="487"/>
      <c r="E30" s="488"/>
      <c r="F30" s="489"/>
      <c r="G30" s="490"/>
      <c r="H30" s="491"/>
      <c r="I30" s="488"/>
      <c r="J30" s="490"/>
      <c r="K30" s="482"/>
      <c r="L30" s="483"/>
      <c r="M30" s="545"/>
      <c r="N30" s="523"/>
      <c r="O30" s="484"/>
      <c r="P30" s="468"/>
    </row>
    <row r="31" spans="1:16" s="510" customFormat="1" ht="35" customHeight="1" x14ac:dyDescent="0.3">
      <c r="A31" s="524"/>
      <c r="B31" s="749"/>
      <c r="C31" s="765">
        <v>2</v>
      </c>
      <c r="D31" s="508" t="s">
        <v>20</v>
      </c>
      <c r="E31" s="750" t="str">
        <f>IF(VLOOKUP(CONCATENATE($C$2,"-",$D31),Languages!$A:$D,1,TRUE)=CONCATENATE($C$2,"-",$D31),VLOOKUP(CONCATENATE($C$2,"-",$D31),Languages!$A:$D,Kybermittari!$C$7,TRUE),NA())</f>
        <v>Organisaatiolla on dokumentoitu strategia tai johtotason politiikka kyberriskien hallintaan.</v>
      </c>
      <c r="F31" s="750"/>
      <c r="G31" s="750"/>
      <c r="H31" s="493">
        <f t="shared" ref="H31:H36" si="2">IFERROR(INT(LEFT($I31,1)),0)</f>
        <v>0</v>
      </c>
      <c r="I31" s="54"/>
      <c r="J31" s="526"/>
      <c r="K31" s="509"/>
      <c r="L31" s="524"/>
      <c r="M31" s="545"/>
      <c r="N31" s="524"/>
      <c r="O31" s="495"/>
      <c r="P31" s="548"/>
    </row>
    <row r="32" spans="1:16" s="510" customFormat="1" ht="60" customHeight="1" x14ac:dyDescent="0.3">
      <c r="A32" s="524"/>
      <c r="B32" s="749"/>
      <c r="C32" s="767"/>
      <c r="D32" s="508" t="s">
        <v>21</v>
      </c>
      <c r="E32" s="750" t="str">
        <f>IF(VLOOKUP(CONCATENATE($C$2,"-",$D32),Languages!$A:$D,1,TRUE)=CONCATENATE($C$2,"-",$D32),VLOOKUP(CONCATENATE($C$2,"-",$D32),Languages!$A:$D,Kybermittari!$C$7,TRUE),NA())</f>
        <v>Organisaatio on määrittänyt kyberriskien arviointikriteerit, joita se käyttää riskien arviontiin, luokitteluun ja priorisointiin. Kriteereiden määrittelyssä on huomioitu riskien mahdollinen vaikuttavuus, organisaation riskinottohalukkuus ja käytettävissä olevat riskienhallintatoimenpiteet.</v>
      </c>
      <c r="F32" s="750"/>
      <c r="G32" s="750"/>
      <c r="H32" s="493">
        <f t="shared" si="2"/>
        <v>0</v>
      </c>
      <c r="I32" s="54"/>
      <c r="J32" s="527"/>
      <c r="K32" s="509"/>
      <c r="L32" s="524"/>
      <c r="M32" s="545"/>
      <c r="N32" s="524"/>
      <c r="O32" s="495"/>
      <c r="P32" s="548"/>
    </row>
    <row r="33" spans="1:16" s="510" customFormat="1" ht="10" customHeight="1" x14ac:dyDescent="0.3">
      <c r="A33" s="524"/>
      <c r="B33" s="511"/>
      <c r="C33" s="565"/>
      <c r="D33" s="513"/>
      <c r="E33" s="501"/>
      <c r="F33" s="501"/>
      <c r="G33" s="501"/>
      <c r="H33" s="499"/>
      <c r="I33" s="502"/>
      <c r="J33" s="514"/>
      <c r="K33" s="509"/>
      <c r="L33" s="524"/>
      <c r="M33" s="545"/>
      <c r="N33" s="524"/>
      <c r="O33" s="495"/>
      <c r="P33" s="548"/>
    </row>
    <row r="34" spans="1:16" s="510" customFormat="1" ht="35" customHeight="1" x14ac:dyDescent="0.3">
      <c r="A34" s="524"/>
      <c r="B34" s="749"/>
      <c r="C34" s="765">
        <v>3</v>
      </c>
      <c r="D34" s="508" t="s">
        <v>22</v>
      </c>
      <c r="E34" s="750" t="str">
        <f>IF(VLOOKUP(CONCATENATE($C$2,"-",$D34),Languages!$A:$D,1,TRUE)=CONCATENATE($C$2,"-",$D34),VLOOKUP(CONCATENATE($C$2,"-",$D34),Languages!$A:$D,Kybermittari!$C$7,TRUE),NA())</f>
        <v>Strategia tai johtotason politiikka määrittää organisaation käytettävissä olevat riskienhallintatoimenpiteet.</v>
      </c>
      <c r="F34" s="750"/>
      <c r="G34" s="750"/>
      <c r="H34" s="493">
        <f t="shared" si="2"/>
        <v>0</v>
      </c>
      <c r="I34" s="54"/>
      <c r="J34" s="527"/>
      <c r="K34" s="509"/>
      <c r="L34" s="524"/>
      <c r="M34" s="545"/>
      <c r="N34" s="524"/>
      <c r="O34" s="495"/>
      <c r="P34" s="548"/>
    </row>
    <row r="35" spans="1:16" s="510" customFormat="1" ht="35" customHeight="1" x14ac:dyDescent="0.3">
      <c r="A35" s="524"/>
      <c r="B35" s="749"/>
      <c r="C35" s="766"/>
      <c r="D35" s="508" t="s">
        <v>23</v>
      </c>
      <c r="E35" s="750" t="str">
        <f>IF(VLOOKUP(CONCATENATE($C$2,"-",$D35),Languages!$A:$D,1,TRUE)=CONCATENATE($C$2,"-",$D35),VLOOKUP(CONCATENATE($C$2,"-",$D35),Languages!$A:$D,Kybermittari!$C$7,TRUE),NA())</f>
        <v>Strategiaa tai johtotason politiikkaa päivitetään säännöllisesti, jotta se huomioi muutokset organisaation uhkaympäristössä.</v>
      </c>
      <c r="F35" s="750"/>
      <c r="G35" s="750"/>
      <c r="H35" s="493">
        <f t="shared" si="2"/>
        <v>0</v>
      </c>
      <c r="I35" s="54"/>
      <c r="J35" s="527"/>
      <c r="K35" s="509"/>
      <c r="L35" s="524"/>
      <c r="M35" s="545"/>
      <c r="N35" s="524"/>
      <c r="O35" s="495"/>
      <c r="P35" s="548"/>
    </row>
    <row r="36" spans="1:16" s="510" customFormat="1" ht="60" customHeight="1" x14ac:dyDescent="0.3">
      <c r="A36" s="524"/>
      <c r="B36" s="749"/>
      <c r="C36" s="767"/>
      <c r="D36" s="508" t="s">
        <v>24</v>
      </c>
      <c r="E36" s="750" t="str">
        <f>IF(VLOOKUP(CONCATENATE($C$2,"-",$D36),Languages!$A:$D,1,TRUE)=CONCATENATE($C$2,"-",$D36),VLOOKUP(CONCATENATE($C$2,"-",$D36),Languages!$A:$D,Kybermittari!$C$7,TRUE),NA())</f>
        <v>Organisaatiolla on yhtenäinen riskien luokittelumalli ("risk taxonomy"), jota se käyttää kyberriskien hallintaan. Riskien luokittelumalli on yhtenäinen, kattava ja vakioitu joukko riskiluokkia, joita koko organisaatio käyttää erityyppisten riskien luokitteluun ja tunnistamiseen.</v>
      </c>
      <c r="F36" s="750"/>
      <c r="G36" s="750"/>
      <c r="H36" s="493">
        <f t="shared" si="2"/>
        <v>0</v>
      </c>
      <c r="I36" s="54"/>
      <c r="J36" s="527"/>
      <c r="K36" s="509"/>
      <c r="L36" s="524"/>
      <c r="M36" s="545"/>
      <c r="N36" s="524"/>
      <c r="O36" s="495"/>
      <c r="P36" s="548"/>
    </row>
    <row r="37" spans="1:16" s="343" customFormat="1" ht="30" customHeight="1" x14ac:dyDescent="0.3">
      <c r="A37" s="340"/>
      <c r="B37" s="461"/>
      <c r="C37" s="462">
        <v>3</v>
      </c>
      <c r="D37" s="462" t="str">
        <f>IF(VLOOKUP(CONCATENATE($C$2,"-",C37),Languages!$A:$D,1,TRUE)=CONCATENATE($C$2,"-",C37),VLOOKUP(CONCATENATE($C$2,"-",C37),Languages!$A:$D,Kybermittari!$C$7,TRUE),NA())</f>
        <v>Yleisiä hallintatoimia</v>
      </c>
      <c r="E37" s="336"/>
      <c r="F37" s="506"/>
      <c r="G37" s="506"/>
      <c r="H37" s="506" t="str">
        <f t="shared" ref="H37" si="3">IFERROR(INT(LEFT($I37,1)),"")</f>
        <v/>
      </c>
      <c r="I37" s="506"/>
      <c r="J37" s="507"/>
      <c r="K37" s="339"/>
      <c r="L37" s="340"/>
      <c r="M37" s="533"/>
      <c r="N37" s="340"/>
      <c r="O37" s="341"/>
      <c r="P37" s="468"/>
    </row>
    <row r="38" spans="1:16" ht="47" customHeight="1" x14ac:dyDescent="0.25">
      <c r="A38" s="422"/>
      <c r="B38" s="566"/>
      <c r="C38" s="753" t="str">
        <f>IF(VLOOKUP(CONCATENATE($C$2,"-",$C37,"-0"),Languages!$A:$D,1,TRUE)=CONCATENATE($C$2,"-",$C37,"-0"),VLOOKUP(CONCATENATE($C$2,"-",$C37,"-0"),Languages!$A:$D,Kybermittari!$C$7,TRUE),NA())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38" s="753"/>
      <c r="E38" s="753"/>
      <c r="F38" s="753"/>
      <c r="G38" s="753"/>
      <c r="H38" s="753"/>
      <c r="I38" s="753"/>
      <c r="J38" s="753"/>
      <c r="K38" s="553"/>
      <c r="L38" s="422"/>
      <c r="M38" s="533"/>
      <c r="N38" s="422"/>
    </row>
    <row r="39" spans="1:16" s="556" customFormat="1" ht="20" customHeight="1" x14ac:dyDescent="0.25">
      <c r="A39" s="554"/>
      <c r="B39" s="536"/>
      <c r="C39" s="537" t="str">
        <f>IF(VLOOKUP("GEN-LEVEL",Languages!$A:$D,1,TRUE)="GEN-LEVEL",VLOOKUP("GEN-LEVEL",Languages!$A:$D,Kybermittari!$C$7,TRUE),NA())</f>
        <v>Taso</v>
      </c>
      <c r="D39" s="537"/>
      <c r="E39" s="538" t="str">
        <f>IF(VLOOKUP("GEN-PRACTICE",Languages!$A:$D,1,TRUE)="GEN-PRACTICE",VLOOKUP("GEN-PRACTICE",Languages!$A:$D,Kybermittari!$C$7,TRUE),NA())</f>
        <v>Käytäntö</v>
      </c>
      <c r="F39" s="539"/>
      <c r="G39" s="540"/>
      <c r="H39" s="541"/>
      <c r="I39" s="538" t="str">
        <f>IF(VLOOKUP("GEN-ANSWER",Languages!$A:$D,1,TRUE)="GEN-ANSWER",VLOOKUP("GEN-ANSWER",Languages!$A:$D,Kybermittari!$C$7,TRUE),NA())</f>
        <v>Vastaus</v>
      </c>
      <c r="J39" s="540" t="str">
        <f>IF(VLOOKUP("GEN-COMMENT",Languages!$A:$D,1,TRUE)="GEN-COMMENT",VLOOKUP("GEN-COMMENT",Languages!$A:$D,Kybermittari!$C$7,TRUE),NA())</f>
        <v>Kommentti ja viittaukset</v>
      </c>
      <c r="K39" s="542"/>
      <c r="L39" s="535"/>
      <c r="M39" s="531"/>
      <c r="N39" s="554"/>
      <c r="O39" s="555"/>
      <c r="P39" s="567"/>
    </row>
    <row r="40" spans="1:16" s="577" customFormat="1" ht="10" customHeight="1" x14ac:dyDescent="0.25">
      <c r="A40" s="568"/>
      <c r="B40" s="569"/>
      <c r="C40" s="570"/>
      <c r="D40" s="570"/>
      <c r="E40" s="571"/>
      <c r="F40" s="572"/>
      <c r="G40" s="573"/>
      <c r="H40" s="574"/>
      <c r="I40" s="571"/>
      <c r="J40" s="573"/>
      <c r="K40" s="575"/>
      <c r="L40" s="441"/>
      <c r="M40" s="533"/>
      <c r="N40" s="568"/>
      <c r="O40" s="576"/>
      <c r="P40" s="567"/>
    </row>
    <row r="41" spans="1:16" s="577" customFormat="1" ht="20" customHeight="1" x14ac:dyDescent="0.25">
      <c r="A41" s="568"/>
      <c r="B41" s="569"/>
      <c r="C41" s="557">
        <v>1</v>
      </c>
      <c r="D41" s="578"/>
      <c r="E41" s="579"/>
      <c r="F41" s="580"/>
      <c r="G41" s="581"/>
      <c r="H41" s="582"/>
      <c r="I41" s="579"/>
      <c r="J41" s="583"/>
      <c r="K41" s="575"/>
      <c r="L41" s="441"/>
      <c r="M41" s="533"/>
      <c r="N41" s="568"/>
      <c r="O41" s="576"/>
      <c r="P41" s="567"/>
    </row>
    <row r="42" spans="1:16" s="577" customFormat="1" ht="10" customHeight="1" x14ac:dyDescent="0.25">
      <c r="A42" s="568"/>
      <c r="B42" s="569"/>
      <c r="C42" s="570"/>
      <c r="D42" s="570"/>
      <c r="E42" s="571"/>
      <c r="F42" s="572"/>
      <c r="G42" s="573"/>
      <c r="H42" s="574"/>
      <c r="I42" s="571"/>
      <c r="J42" s="573"/>
      <c r="K42" s="575"/>
      <c r="L42" s="441"/>
      <c r="M42" s="533"/>
      <c r="N42" s="568"/>
      <c r="O42" s="576"/>
      <c r="P42" s="567"/>
    </row>
    <row r="43" spans="1:16" s="510" customFormat="1" ht="35" customHeight="1" x14ac:dyDescent="0.3">
      <c r="A43" s="524"/>
      <c r="B43" s="749"/>
      <c r="C43" s="765">
        <v>2</v>
      </c>
      <c r="D43" s="508" t="s">
        <v>25</v>
      </c>
      <c r="E43" s="750" t="str">
        <f>IF(VLOOKUP(CONCATENATE($C$2,"-",$D43),Languages!$A:$D,1,TRUE)=CONCATENATE($C$2,"-",$D43),VLOOKUP(CONCATENATE($C$2,"-",$D43),Languages!$A:$D,Kybermittari!$C$7,TRUE),NA())</f>
        <v>Riskienhallinnan (RISK) osioon liittyen on määritetty dokumentoidut käytännöt, joita noudatetaan ja pidetään yllä.</v>
      </c>
      <c r="F43" s="750"/>
      <c r="G43" s="750"/>
      <c r="H43" s="493">
        <f t="shared" ref="H43:H49" si="4">IFERROR(INT(LEFT($I43,1)),0)</f>
        <v>0</v>
      </c>
      <c r="I43" s="54"/>
      <c r="J43" s="527"/>
      <c r="K43" s="509"/>
      <c r="L43" s="524"/>
      <c r="M43" s="545"/>
      <c r="N43" s="524"/>
      <c r="O43" s="495"/>
      <c r="P43" s="548"/>
    </row>
    <row r="44" spans="1:16" s="510" customFormat="1" ht="35" customHeight="1" x14ac:dyDescent="0.3">
      <c r="A44" s="524"/>
      <c r="B44" s="749"/>
      <c r="C44" s="766"/>
      <c r="D44" s="508" t="s">
        <v>26</v>
      </c>
      <c r="E44" s="750" t="str">
        <f>IF(VLOOKUP(CONCATENATE($C$2,"-",$D44),Languages!$A:$D,1,TRUE)=CONCATENATE($C$2,"-",$D44),VLOOKUP(CONCATENATE($C$2,"-",$D44),Languages!$A:$D,Kybermittari!$C$7,TRUE),NA())</f>
        <v>Riskienhallinnan (RISK) osion toimintaan on saatavilla riittävät resurssit (henkilöstö, rahoitus ja työkalut).</v>
      </c>
      <c r="F44" s="750"/>
      <c r="G44" s="750"/>
      <c r="H44" s="493">
        <f t="shared" si="4"/>
        <v>0</v>
      </c>
      <c r="I44" s="54"/>
      <c r="J44" s="527"/>
      <c r="K44" s="509"/>
      <c r="L44" s="524"/>
      <c r="M44" s="545"/>
      <c r="N44" s="524"/>
      <c r="O44" s="495"/>
      <c r="P44" s="548"/>
    </row>
    <row r="45" spans="1:16" s="510" customFormat="1" ht="35" customHeight="1" x14ac:dyDescent="0.3">
      <c r="A45" s="524"/>
      <c r="B45" s="749"/>
      <c r="C45" s="766"/>
      <c r="D45" s="508" t="s">
        <v>27</v>
      </c>
      <c r="E45" s="750" t="str">
        <f>IF(VLOOKUP(CONCATENATE($C$2,"-",$D45),Languages!$A:$D,1,TRUE)=CONCATENATE($C$2,"-",$D45),VLOOKUP(CONCATENATE($C$2,"-",$D45),Languages!$A:$D,Kybermittari!$C$7,TRUE),NA())</f>
        <v>Riskienhallinnan (RISK) osion toimintaa suorittavilla työntekijöillä on riittävät tiedot ja taidot tehtäviensä suorittamiseen.</v>
      </c>
      <c r="F45" s="750"/>
      <c r="G45" s="750"/>
      <c r="H45" s="493">
        <f t="shared" si="4"/>
        <v>0</v>
      </c>
      <c r="I45" s="54"/>
      <c r="J45" s="527"/>
      <c r="K45" s="509"/>
      <c r="L45" s="524"/>
      <c r="M45" s="545"/>
      <c r="N45" s="524"/>
      <c r="O45" s="495"/>
      <c r="P45" s="548"/>
    </row>
    <row r="46" spans="1:16" s="510" customFormat="1" ht="35" customHeight="1" x14ac:dyDescent="0.3">
      <c r="A46" s="524"/>
      <c r="B46" s="749"/>
      <c r="C46" s="767"/>
      <c r="D46" s="508" t="s">
        <v>28</v>
      </c>
      <c r="E46" s="750" t="str">
        <f>IF(VLOOKUP(CONCATENATE($C$2,"-",$D46),Languages!$A:$D,1,TRUE)=CONCATENATE($C$2,"-",$D46),VLOOKUP(CONCATENATE($C$2,"-",$D46),Languages!$A:$D,Kybermittari!$C$7,TRUE),NA())</f>
        <v>Riskienhallinnan (RISK) osion toiminnan suorittamiseen liittyvät vastuut ja valtuudet on osoitettu nimetyille työntekijöille.</v>
      </c>
      <c r="F46" s="750"/>
      <c r="G46" s="750"/>
      <c r="H46" s="493">
        <f t="shared" si="4"/>
        <v>0</v>
      </c>
      <c r="I46" s="54"/>
      <c r="J46" s="527"/>
      <c r="K46" s="509"/>
      <c r="L46" s="524"/>
      <c r="M46" s="545"/>
      <c r="N46" s="524"/>
      <c r="O46" s="495"/>
      <c r="P46" s="548"/>
    </row>
    <row r="47" spans="1:16" s="510" customFormat="1" ht="10" customHeight="1" x14ac:dyDescent="0.3">
      <c r="A47" s="524"/>
      <c r="B47" s="511"/>
      <c r="C47" s="565"/>
      <c r="D47" s="513"/>
      <c r="E47" s="501"/>
      <c r="F47" s="501"/>
      <c r="G47" s="501"/>
      <c r="H47" s="499"/>
      <c r="I47" s="502"/>
      <c r="J47" s="514"/>
      <c r="K47" s="509"/>
      <c r="L47" s="524"/>
      <c r="M47" s="545"/>
      <c r="N47" s="524"/>
      <c r="O47" s="495"/>
      <c r="P47" s="548"/>
    </row>
    <row r="48" spans="1:16" s="510" customFormat="1" ht="47" customHeight="1" x14ac:dyDescent="0.3">
      <c r="A48" s="524"/>
      <c r="B48" s="749"/>
      <c r="C48" s="765">
        <v>3</v>
      </c>
      <c r="D48" s="508" t="s">
        <v>29</v>
      </c>
      <c r="E48" s="750" t="str">
        <f>IF(VLOOKUP(CONCATENATE($C$2,"-",$D48),Languages!$A:$D,1,TRUE)=CONCATENATE($C$2,"-",$D48),VLOOKUP(CONCATENATE($C$2,"-",$D48),Languages!$A:$D,Kybermittari!$C$7,TRUE),NA())</f>
        <v>Riskienhallinnan (RISK) osion toiminta perustuu organisaation määrittämään ja ylläpitämään johtotason politiikkaan (tai vastaavaan ohjeistukseen), jossa asetetaan nimenomaisia vaatimuksia tämän osion toiminnalle.</v>
      </c>
      <c r="F48" s="750"/>
      <c r="G48" s="750"/>
      <c r="H48" s="493">
        <f t="shared" si="4"/>
        <v>0</v>
      </c>
      <c r="I48" s="54"/>
      <c r="J48" s="527"/>
      <c r="K48" s="509"/>
      <c r="L48" s="524"/>
      <c r="M48" s="545"/>
      <c r="N48" s="524"/>
      <c r="O48" s="495"/>
      <c r="P48" s="548"/>
    </row>
    <row r="49" spans="1:16" s="510" customFormat="1" ht="35" customHeight="1" x14ac:dyDescent="0.3">
      <c r="A49" s="524"/>
      <c r="B49" s="749"/>
      <c r="C49" s="766"/>
      <c r="D49" s="508" t="s">
        <v>30</v>
      </c>
      <c r="E49" s="750" t="str">
        <f>IF(VLOOKUP(CONCATENATE($C$2,"-",$D49),Languages!$A:$D,1,TRUE)=CONCATENATE($C$2,"-",$D49),VLOOKUP(CONCATENATE($C$2,"-",$D49),Languages!$A:$D,Kybermittari!$C$7,TRUE),NA())</f>
        <v>Riskienhallinnan (RISK) osion toiminnalle on määritetty suoriutumistavoitteet, joiden toteutumista seurataan [kts. PROGRAM-1b].</v>
      </c>
      <c r="F49" s="750"/>
      <c r="G49" s="750"/>
      <c r="H49" s="493">
        <f t="shared" si="4"/>
        <v>0</v>
      </c>
      <c r="I49" s="54"/>
      <c r="J49" s="527"/>
      <c r="K49" s="509"/>
      <c r="L49" s="524"/>
      <c r="M49" s="545"/>
      <c r="N49" s="524"/>
      <c r="O49" s="495"/>
      <c r="P49" s="548"/>
    </row>
    <row r="50" spans="1:16" s="510" customFormat="1" ht="35" customHeight="1" x14ac:dyDescent="0.3">
      <c r="A50" s="524"/>
      <c r="B50" s="749"/>
      <c r="C50" s="767"/>
      <c r="D50" s="508" t="s">
        <v>31</v>
      </c>
      <c r="E50" s="750" t="str">
        <f>IF(VLOOKUP(CONCATENATE($C$2,"-",$D50),Languages!$A:$D,1,TRUE)=CONCATENATE($C$2,"-",$D50),VLOOKUP(CONCATENATE($C$2,"-",$D50),Languages!$A:$D,Kybermittari!$C$7,TRUE),NA())</f>
        <v>Riskienhallinnan (RISK) osioon liittyvät käytännöt on standardoitu läpi koko organisaation ja niitä kehitetään aktiivisesti.</v>
      </c>
      <c r="F50" s="750"/>
      <c r="G50" s="750"/>
      <c r="H50" s="493">
        <f>IFERROR(INT(LEFT($I50,1)),0)</f>
        <v>0</v>
      </c>
      <c r="I50" s="54"/>
      <c r="J50" s="527"/>
      <c r="K50" s="509"/>
      <c r="L50" s="524"/>
      <c r="M50" s="545"/>
      <c r="N50" s="524"/>
      <c r="O50" s="495"/>
      <c r="P50" s="548"/>
    </row>
    <row r="51" spans="1:16" x14ac:dyDescent="0.25">
      <c r="A51" s="422"/>
      <c r="B51" s="423"/>
      <c r="C51" s="516"/>
      <c r="D51" s="424"/>
      <c r="E51" s="425"/>
      <c r="F51" s="425"/>
      <c r="G51" s="425"/>
      <c r="H51" s="427"/>
      <c r="I51" s="428"/>
      <c r="J51" s="517"/>
      <c r="K51" s="429"/>
      <c r="L51" s="422"/>
      <c r="M51" s="533"/>
      <c r="N51" s="422"/>
    </row>
    <row r="52" spans="1:16" x14ac:dyDescent="0.25">
      <c r="A52" s="422"/>
      <c r="B52" s="422"/>
      <c r="C52" s="422"/>
      <c r="D52" s="422"/>
      <c r="E52" s="422"/>
      <c r="F52" s="422"/>
      <c r="G52" s="422"/>
      <c r="H52" s="431"/>
      <c r="I52" s="422"/>
      <c r="J52" s="422"/>
      <c r="K52" s="422"/>
      <c r="L52" s="422"/>
      <c r="M52" s="584"/>
      <c r="N52" s="422"/>
    </row>
  </sheetData>
  <sheetProtection sheet="1" objects="1" scenarios="1"/>
  <mergeCells count="40">
    <mergeCell ref="B48:B50"/>
    <mergeCell ref="C48:C50"/>
    <mergeCell ref="E48:G48"/>
    <mergeCell ref="E49:G49"/>
    <mergeCell ref="E50:G50"/>
    <mergeCell ref="C38:J38"/>
    <mergeCell ref="B43:B46"/>
    <mergeCell ref="C43:C46"/>
    <mergeCell ref="E43:G43"/>
    <mergeCell ref="E44:G44"/>
    <mergeCell ref="E45:G45"/>
    <mergeCell ref="E46:G46"/>
    <mergeCell ref="C26:J26"/>
    <mergeCell ref="B31:B32"/>
    <mergeCell ref="C31:C32"/>
    <mergeCell ref="E31:G31"/>
    <mergeCell ref="E32:G32"/>
    <mergeCell ref="B34:B36"/>
    <mergeCell ref="C34:C36"/>
    <mergeCell ref="E34:G34"/>
    <mergeCell ref="E35:G35"/>
    <mergeCell ref="E36:G36"/>
    <mergeCell ref="B21:B24"/>
    <mergeCell ref="C21:C24"/>
    <mergeCell ref="E21:G21"/>
    <mergeCell ref="E22:G22"/>
    <mergeCell ref="E23:G23"/>
    <mergeCell ref="E24:G24"/>
    <mergeCell ref="C5:J5"/>
    <mergeCell ref="C10:J10"/>
    <mergeCell ref="B13:B14"/>
    <mergeCell ref="C13:C14"/>
    <mergeCell ref="E13:G13"/>
    <mergeCell ref="E14:G14"/>
    <mergeCell ref="B16:B19"/>
    <mergeCell ref="C16:C19"/>
    <mergeCell ref="E16:G16"/>
    <mergeCell ref="E17:G17"/>
    <mergeCell ref="E18:G18"/>
    <mergeCell ref="E19:G19"/>
  </mergeCells>
  <conditionalFormatting sqref="H1:H19 H21:H1048576">
    <cfRule type="containsText" dxfId="65" priority="5" operator="containsText" text="0">
      <formula>NOT(ISERROR(SEARCH("0",H1)))</formula>
    </cfRule>
  </conditionalFormatting>
  <conditionalFormatting sqref="H20">
    <cfRule type="containsText" dxfId="64" priority="1" operator="containsText" text="0">
      <formula>NOT(ISERROR(SEARCH("0",H20)))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1B4C1B6A-AFFB-4548-A42F-B5B084DA096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H1:H19 H21:H1048576</xm:sqref>
        </x14:conditionalFormatting>
        <x14:conditionalFormatting xmlns:xm="http://schemas.microsoft.com/office/excel/2006/main">
          <x14:cfRule type="iconSet" priority="2" id="{CBB0FF2E-5DE8-4331-8726-9F4EB791AC0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I16:I19 I13:I14 I21:I24 I31:I32 I34:I36 I43:I46 I48:I50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63"/>
  <sheetViews>
    <sheetView showGridLines="0" zoomScaleNormal="100" workbookViewId="0">
      <selection activeCell="I13" sqref="I13"/>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77</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Toimitusketjun ja ulkoisten riippuvuuksien hallinta</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47" customHeight="1" x14ac:dyDescent="0.25">
      <c r="A5" s="344"/>
      <c r="B5" s="532"/>
      <c r="C5" s="758" t="str">
        <f>IF(VLOOKUP(CONCATENATE(C2,"-0"),Languages!$A:$D,1,TRUE)=CONCATENATE(C2,"-0"),VLOOKUP(CONCATENATE(C2,"-0"),Languages!$A:$D,Kybermittari!$C$7,TRUE),NA())</f>
        <v>Toimitusketjun ja ulkoisten riippuvuuksien hallinnan osiossa arvioidaan organisaation kykyä tunnistaa ja hallita toimitusketjuihin ja kolmansiin osapuoliin liittyviä riskejä. Organisaation tulee määritellä ja ylläpitää kontrolleja, joiden avulla se hallitsee organisaation ulkopuolisista toimijoista riippuvaisten yhteiskunnalle kriittisten palveluiden kyberriskejä.</v>
      </c>
      <c r="D5" s="758"/>
      <c r="E5" s="758"/>
      <c r="F5" s="758"/>
      <c r="G5" s="758"/>
      <c r="H5" s="758"/>
      <c r="I5" s="758"/>
      <c r="J5" s="758"/>
      <c r="K5" s="356"/>
      <c r="L5" s="344"/>
      <c r="M5" s="533"/>
      <c r="N5" s="344"/>
    </row>
    <row r="6" spans="1:16" ht="14.5" x14ac:dyDescent="0.25">
      <c r="A6" s="344"/>
      <c r="B6" s="532"/>
      <c r="C6" s="456">
        <v>1</v>
      </c>
      <c r="D6" s="457" t="s">
        <v>2</v>
      </c>
      <c r="E6" s="458" t="str">
        <f>IF(VLOOKUP(CONCATENATE($C$2,"-",C6),Languages!$A:$D,1,TRUE)=CONCATENATE($C$2,"-",C6),VLOOKUP(CONCATENATE($C$2,"-",C6),Languages!$A:$D,Kybermittari!$C$7,TRUE),NA())</f>
        <v>Riippuvuuksien tunnistaminen</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Riippuvuusriskien hallinta</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Yleisiä hallintatoimia</v>
      </c>
      <c r="F8" s="607"/>
      <c r="G8" s="386"/>
      <c r="H8" s="610"/>
      <c r="I8" s="459" t="str">
        <f ca="1">VLOOKUP(VLOOKUP(CONCATENATE($C$2,"-",$C8),Data!$K:$O,5,FALSE),Parameters!$C$7:$F$10,Kybermittari!$C$7,FALSE)</f>
        <v>Kypsyystaso 1</v>
      </c>
      <c r="J8" s="611"/>
      <c r="K8" s="356"/>
      <c r="L8" s="344"/>
      <c r="M8" s="533"/>
      <c r="N8" s="344"/>
    </row>
    <row r="9" spans="1:16" s="343" customFormat="1" ht="30" customHeight="1" x14ac:dyDescent="0.25">
      <c r="A9" s="332"/>
      <c r="B9" s="461"/>
      <c r="C9" s="336">
        <v>1</v>
      </c>
      <c r="D9" s="336" t="str">
        <f>IF(VLOOKUP(CONCATENATE($C$2,"-",C9),Languages!$A:$D,1,TRUE)=CONCATENATE($C$2,"-",C9),VLOOKUP(CONCATENATE($C$2,"-",C9),Languages!$A:$D,Kybermittari!$C$7,TRUE),NA())</f>
        <v>Riippuvuuksien tunnistaminen</v>
      </c>
      <c r="E9" s="336"/>
      <c r="F9" s="463"/>
      <c r="G9" s="463"/>
      <c r="H9" s="464"/>
      <c r="I9" s="464"/>
      <c r="J9" s="465"/>
      <c r="K9" s="466"/>
      <c r="L9" s="344"/>
      <c r="M9" s="533"/>
      <c r="N9" s="344"/>
      <c r="O9" s="341"/>
      <c r="P9" s="341"/>
    </row>
    <row r="10" spans="1:16" s="475" customFormat="1" ht="35" customHeight="1" x14ac:dyDescent="0.3">
      <c r="A10" s="469"/>
      <c r="B10" s="470"/>
      <c r="C10" s="753" t="str">
        <f>IF(VLOOKUP(CONCATENATE($C$2,"-",$C9,"-0"),Languages!$A:$D,1,TRUE)=CONCATENATE($C$2,"-",$C9,"-0"),VLOOKUP(CONCATENATE($C$2,"-",$C9,"-0"),Languages!$A:$D,Kybermittari!$C$7,TRUE),NA())</f>
        <v>Riippuvuuksien tunnistamiseen kuuluu, että organisaatio tunnistaa ja ymmärtää perusteellisesti (toiminnan osa-alueen toimintavarmuuden kannalta) tärkeimmät ulkoiset suhteet toimittajiin, alihankkijoihin ja muihin kolmansiin osapuoliin.</v>
      </c>
      <c r="D10" s="753"/>
      <c r="E10" s="753"/>
      <c r="F10" s="753"/>
      <c r="G10" s="753"/>
      <c r="H10" s="753"/>
      <c r="I10" s="753"/>
      <c r="J10" s="753"/>
      <c r="K10" s="471"/>
      <c r="L10" s="612"/>
      <c r="M10" s="545"/>
      <c r="N10" s="483"/>
      <c r="O10" s="473"/>
      <c r="P10" s="473"/>
    </row>
    <row r="11" spans="1:16" s="547" customFormat="1" ht="20" customHeight="1" x14ac:dyDescent="0.3">
      <c r="A11" s="483"/>
      <c r="B11" s="476"/>
      <c r="C11" s="477" t="str">
        <f>IF(VLOOKUP("GEN-LEVEL",Languages!$A:$D,1,TRUE)="GEN-LEVEL",VLOOKUP("GEN-LEVEL",Languages!$A:$D,Kybermittari!$C$7,TRUE),NA())</f>
        <v>Taso</v>
      </c>
      <c r="D11" s="477"/>
      <c r="E11" s="478" t="str">
        <f>IF(VLOOKUP("GEN-PRACTICE",Languages!$A:$D,1,TRUE)="GEN-PRACTICE",VLOOKUP("GEN-PRACTICE",Languages!$A:$D,Kybermittari!$C$7,TRUE),NA())</f>
        <v>Käytäntö</v>
      </c>
      <c r="F11" s="479"/>
      <c r="G11" s="480"/>
      <c r="H11" s="481"/>
      <c r="I11" s="478" t="str">
        <f>IF(VLOOKUP("GEN-ANSWER",Languages!$A:$D,1,TRUE)="GEN-ANSWER",VLOOKUP("GEN-ANSWER",Languages!$A:$D,Kybermittari!$C$7,TRUE),NA())</f>
        <v>Vastaus</v>
      </c>
      <c r="J11" s="480" t="str">
        <f>IF(VLOOKUP("GEN-COMMENT",Languages!$A:$D,1,TRUE)="GEN-COMMENT",VLOOKUP("GEN-COMMENT",Languages!$A:$D,Kybermittari!$C$7,TRUE),NA())</f>
        <v>Kommentti ja viittaukset</v>
      </c>
      <c r="K11" s="482"/>
      <c r="L11" s="469"/>
      <c r="M11" s="545"/>
      <c r="N11" s="469"/>
      <c r="O11" s="546"/>
      <c r="P11" s="546"/>
    </row>
    <row r="12" spans="1:16" s="547" customFormat="1" ht="10" customHeight="1" x14ac:dyDescent="0.3">
      <c r="A12" s="483"/>
      <c r="B12" s="476"/>
      <c r="C12" s="487"/>
      <c r="D12" s="487"/>
      <c r="E12" s="488"/>
      <c r="F12" s="489"/>
      <c r="G12" s="490"/>
      <c r="H12" s="491"/>
      <c r="I12" s="488"/>
      <c r="J12" s="490"/>
      <c r="K12" s="482"/>
      <c r="L12" s="469"/>
      <c r="M12" s="545"/>
      <c r="N12" s="469"/>
      <c r="O12" s="546"/>
      <c r="P12" s="546"/>
    </row>
    <row r="13" spans="1:16" s="495" customFormat="1" ht="60" customHeight="1" x14ac:dyDescent="0.3">
      <c r="A13" s="469"/>
      <c r="B13" s="757"/>
      <c r="C13" s="759">
        <v>1</v>
      </c>
      <c r="D13" s="492" t="s">
        <v>7</v>
      </c>
      <c r="E13" s="750" t="str">
        <f>IF(VLOOKUP(CONCATENATE($C$2,"-",$D13),Languages!$A:$D,1,TRUE)=CONCATENATE($C$2,"-",$D13),VLOOKUP(CONCATENATE($C$2,"-",$D13),Languages!$A:$D,Kybermittari!$C$7,TRUE),NA())</f>
        <v>Organisaatio tunnistaa riippuvuudet tärkeimpiin IT- ja OT-toimittajiin - vaikka ei välttämättä systemaattisesti ja kaiken kattavasti. Toimittajariippuvuuksilla tarkoitetaan sisäisiä ja ulkoisia toimijoita, joista toiminnan osa-alueen toimintavarmuus on riippuvainen.</v>
      </c>
      <c r="F13" s="750"/>
      <c r="G13" s="750"/>
      <c r="H13" s="493">
        <f t="shared" ref="H13" si="0">IFERROR(INT(LEFT($I13,1)),0)</f>
        <v>0</v>
      </c>
      <c r="I13" s="54"/>
      <c r="J13" s="526"/>
      <c r="K13" s="494"/>
      <c r="L13" s="483"/>
      <c r="M13" s="545"/>
      <c r="N13" s="483"/>
    </row>
    <row r="14" spans="1:16" s="495" customFormat="1" ht="60" customHeight="1" x14ac:dyDescent="0.3">
      <c r="A14" s="469"/>
      <c r="B14" s="757"/>
      <c r="C14" s="761"/>
      <c r="D14" s="492" t="s">
        <v>9</v>
      </c>
      <c r="E14" s="750" t="str">
        <f>IF(VLOOKUP(CONCATENATE($C$2,"-",$D14),Languages!$A:$D,1,TRUE)=CONCATENATE($C$2,"-",$D14),VLOOKUP(CONCATENATE($C$2,"-",$D14),Languages!$A:$D,Kybermittari!$C$7,TRUE),NA())</f>
        <v>Organisaatio tunnistaa riippuvuudet tärkeimpiin asiakkaisiin - vaikka ei välttämättä systemaattisesti ja kaiken kattavasti. Asiakasriippuvuuksilla tarkoitetaan sisäisiä ja ulkoisia toimijoita, jotka ovat riippuvaisia toiminnan osa-alueen toimintavarmuudesta.</v>
      </c>
      <c r="F14" s="750"/>
      <c r="G14" s="750"/>
      <c r="H14" s="493">
        <f>IFERROR(INT(LEFT($I14,1)),0)</f>
        <v>0</v>
      </c>
      <c r="I14" s="54"/>
      <c r="J14" s="526"/>
      <c r="K14" s="494"/>
      <c r="L14" s="483"/>
      <c r="M14" s="545"/>
      <c r="N14" s="483"/>
    </row>
    <row r="15" spans="1:16" s="495" customFormat="1" ht="10" customHeight="1" x14ac:dyDescent="0.3">
      <c r="A15" s="469"/>
      <c r="B15" s="613"/>
      <c r="C15" s="498"/>
      <c r="D15" s="499"/>
      <c r="E15" s="501"/>
      <c r="F15" s="501"/>
      <c r="G15" s="501"/>
      <c r="H15" s="499"/>
      <c r="I15" s="502"/>
      <c r="J15" s="502"/>
      <c r="K15" s="494"/>
      <c r="L15" s="483"/>
      <c r="M15" s="545"/>
      <c r="N15" s="483"/>
    </row>
    <row r="16" spans="1:16" s="495" customFormat="1" ht="35" customHeight="1" x14ac:dyDescent="0.3">
      <c r="A16" s="469"/>
      <c r="B16" s="757"/>
      <c r="C16" s="759">
        <v>2</v>
      </c>
      <c r="D16" s="492" t="s">
        <v>10</v>
      </c>
      <c r="E16" s="750" t="str">
        <f>IF(VLOOKUP(CONCATENATE($C$2,"-",$D16),Languages!$A:$D,1,TRUE)=CONCATENATE($C$2,"-",$D16),VLOOKUP(CONCATENATE($C$2,"-",$D16),Languages!$A:$D,Kybermittari!$C$7,TRUE),NA())</f>
        <v>Organisaatio käyttää toimittajariippuvuuksien tunnistamiseen vakiintuneita kriteereitä.</v>
      </c>
      <c r="F16" s="750"/>
      <c r="G16" s="750"/>
      <c r="H16" s="493">
        <f>IFERROR(INT(LEFT($I16,1)),0)</f>
        <v>0</v>
      </c>
      <c r="I16" s="54"/>
      <c r="J16" s="526"/>
      <c r="K16" s="494"/>
      <c r="L16" s="469"/>
      <c r="M16" s="545"/>
      <c r="N16" s="469"/>
    </row>
    <row r="17" spans="1:16" s="495" customFormat="1" ht="35" customHeight="1" x14ac:dyDescent="0.3">
      <c r="A17" s="469"/>
      <c r="B17" s="757"/>
      <c r="C17" s="760"/>
      <c r="D17" s="492" t="s">
        <v>11</v>
      </c>
      <c r="E17" s="756" t="str">
        <f>IF(VLOOKUP(CONCATENATE($C$2,"-",$D17),Languages!$A:$D,1,TRUE)=CONCATENATE($C$2,"-",$D17),VLOOKUP(CONCATENATE($C$2,"-",$D17),Languages!$A:$D,Kybermittari!$C$7,TRUE),NA())</f>
        <v>Organisaatio käyttää asiakasriippuvuuksien tunnistamiseen vakiintuneita kriteereitä.</v>
      </c>
      <c r="F17" s="756"/>
      <c r="G17" s="756"/>
      <c r="H17" s="493">
        <f>IFERROR(INT(LEFT($I17,1)),0)</f>
        <v>0</v>
      </c>
      <c r="I17" s="54"/>
      <c r="J17" s="526"/>
      <c r="K17" s="494"/>
      <c r="L17" s="469"/>
      <c r="M17" s="545"/>
      <c r="N17" s="469"/>
    </row>
    <row r="18" spans="1:16" s="495" customFormat="1" ht="35" customHeight="1" x14ac:dyDescent="0.3">
      <c r="A18" s="469"/>
      <c r="B18" s="757"/>
      <c r="C18" s="760"/>
      <c r="D18" s="503" t="s">
        <v>12</v>
      </c>
      <c r="E18" s="756" t="str">
        <f>IF(VLOOKUP(CONCATENATE($C$2,"-",$D18),Languages!$A:$D,1,TRUE)=CONCATENATE($C$2,"-",$D18),VLOOKUP(CONCATENATE($C$2,"-",$D18),Languages!$A:$D,Kybermittari!$C$7,TRUE),NA())</f>
        <v>Organisaatio tunnistaa kriittiset riippuvuudet pääasiallisista tai ainoista toimittajista ja muut välttämättömät riippuvuudet.</v>
      </c>
      <c r="F18" s="756"/>
      <c r="G18" s="756"/>
      <c r="H18" s="493">
        <f>IFERROR(INT(LEFT($I18,1)),0)</f>
        <v>0</v>
      </c>
      <c r="I18" s="54"/>
      <c r="J18" s="527"/>
      <c r="K18" s="504"/>
      <c r="L18" s="549"/>
      <c r="M18" s="545"/>
      <c r="N18" s="549"/>
    </row>
    <row r="19" spans="1:16" s="495" customFormat="1" ht="35" customHeight="1" x14ac:dyDescent="0.3">
      <c r="A19" s="469"/>
      <c r="B19" s="757"/>
      <c r="C19" s="761"/>
      <c r="D19" s="503" t="s">
        <v>13</v>
      </c>
      <c r="E19" s="756" t="str">
        <f>IF(VLOOKUP(CONCATENATE($C$2,"-",$D19),Languages!$A:$D,1,TRUE)=CONCATENATE($C$2,"-",$D19),VLOOKUP(CONCATENATE($C$2,"-",$D19),Languages!$A:$D,Kybermittari!$C$7,TRUE),NA())</f>
        <v>Tunnistetut riippuvuudet on priorisoitu.</v>
      </c>
      <c r="F19" s="756"/>
      <c r="G19" s="756"/>
      <c r="H19" s="493">
        <f>IFERROR(INT(LEFT($I19,1)),0)</f>
        <v>0</v>
      </c>
      <c r="I19" s="54"/>
      <c r="J19" s="527"/>
      <c r="K19" s="504"/>
      <c r="L19" s="469"/>
      <c r="M19" s="545"/>
      <c r="N19" s="469"/>
    </row>
    <row r="20" spans="1:16" s="495" customFormat="1" ht="10" customHeight="1" x14ac:dyDescent="0.3">
      <c r="A20" s="469"/>
      <c r="B20" s="613"/>
      <c r="C20" s="498"/>
      <c r="D20" s="614"/>
      <c r="E20" s="615"/>
      <c r="F20" s="615"/>
      <c r="G20" s="615"/>
      <c r="H20" s="499"/>
      <c r="I20" s="502"/>
      <c r="J20" s="514"/>
      <c r="K20" s="504"/>
      <c r="L20" s="469"/>
      <c r="M20" s="545"/>
      <c r="N20" s="469"/>
    </row>
    <row r="21" spans="1:16" s="495" customFormat="1" ht="35" customHeight="1" x14ac:dyDescent="0.3">
      <c r="A21" s="469"/>
      <c r="B21" s="616"/>
      <c r="C21" s="617">
        <v>3</v>
      </c>
      <c r="D21" s="503" t="s">
        <v>14</v>
      </c>
      <c r="E21" s="756" t="str">
        <f>IF(VLOOKUP(CONCATENATE($C$2,"-",$D21),Languages!$A:$D,1,TRUE)=CONCATENATE($C$2,"-",$D21),VLOOKUP(CONCATENATE($C$2,"-",$D21),Languages!$A:$D,Kybermittari!$C$7,TRUE),NA())</f>
        <v>Organisaatio perustaa riippuvuuksien tunnistamisen ja priorisoinnin määrittämiinsä riskien arviointikriteereihin [kts. RISK-2b].</v>
      </c>
      <c r="F21" s="756"/>
      <c r="G21" s="756"/>
      <c r="H21" s="493">
        <f>IFERROR(INT(LEFT($I21,1)),0)</f>
        <v>0</v>
      </c>
      <c r="I21" s="54"/>
      <c r="J21" s="527"/>
      <c r="K21" s="504"/>
      <c r="L21" s="469"/>
      <c r="M21" s="545"/>
      <c r="N21" s="469"/>
    </row>
    <row r="22" spans="1:16" s="343" customFormat="1" ht="30" customHeight="1" x14ac:dyDescent="0.25">
      <c r="A22" s="332"/>
      <c r="B22" s="461"/>
      <c r="C22" s="336">
        <v>2</v>
      </c>
      <c r="D22" s="336" t="str">
        <f>IF(VLOOKUP(CONCATENATE($C$2,"-",C22),Languages!$A:$D,1,TRUE)=CONCATENATE($C$2,"-",C22),VLOOKUP(CONCATENATE($C$2,"-",C22),Languages!$A:$D,Kybermittari!$C$7,TRUE),NA())</f>
        <v>Riippuvuusriskien hallinta</v>
      </c>
      <c r="E22" s="336"/>
      <c r="F22" s="506"/>
      <c r="G22" s="506"/>
      <c r="H22" s="506"/>
      <c r="I22" s="506" t="s">
        <v>19</v>
      </c>
      <c r="J22" s="507"/>
      <c r="K22" s="339"/>
      <c r="L22" s="347"/>
      <c r="M22" s="533"/>
      <c r="N22" s="347"/>
      <c r="O22" s="341"/>
      <c r="P22" s="341"/>
    </row>
    <row r="23" spans="1:16" s="475" customFormat="1" ht="76" customHeight="1" x14ac:dyDescent="0.3">
      <c r="A23" s="469"/>
      <c r="B23" s="470"/>
      <c r="C23" s="753" t="str">
        <f>IF(VLOOKUP(CONCATENATE($C$2,"-",$C22,"-0"),Languages!$A:$D,1,TRUE)=CONCATENATE($C$2,"-",$C22,"-0"),VLOOKUP(CONCATENATE($C$2,"-",$C22,"-0"),Languages!$A:$D,Kybermittari!$C$7,TRUE),NA())</f>
        <v>Riippuvuusriskien hallinta sisältää hallintatoimenpiteitä kuten riippumatonta testausta, koodikatselmointeja, haavoittuvuusskannauksia tai turvallisen ohjelmistokehityksen vaatimuksia. Toimittajien, alihankkijoiden ja muiden kolmansien osapuolten kanssa solmitut sopimukset tuotteista ja palveluista tulee tarkastaa ja hyväksyttää kyberriskien hallinnan näkökulmasta. Sopimuksissa voidaan esimerkiksi velvoittaa toimittajia noudattamaan tiettyjä kyberturvallisuusstandardeja, -ohjeistuksia tai -vaatimuksia ja edellyttää, että toimittaja täyttää (tai ylittää) nuo vaatimukset. Palvelutasosopimuksissa ("service level agreement, SLA") voidaan asettaa valvonta- ja auditointivaatimukset varmistamaan, että toimittajat ja palvelut täyttävät niille asetetut kyberturvallisuus- ja toimintakykyvaatimukset.</v>
      </c>
      <c r="D23" s="753"/>
      <c r="E23" s="753"/>
      <c r="F23" s="753"/>
      <c r="G23" s="753"/>
      <c r="H23" s="753"/>
      <c r="I23" s="753"/>
      <c r="J23" s="753"/>
      <c r="K23" s="471"/>
      <c r="L23" s="524"/>
      <c r="M23" s="545"/>
      <c r="N23" s="524"/>
      <c r="O23" s="473"/>
      <c r="P23" s="473"/>
    </row>
    <row r="24" spans="1:16" s="547" customFormat="1" ht="20" customHeight="1" x14ac:dyDescent="0.3">
      <c r="A24" s="483"/>
      <c r="B24" s="476"/>
      <c r="C24" s="477" t="str">
        <f>IF(VLOOKUP("GEN-LEVEL",Languages!$A:$D,1,TRUE)="GEN-LEVEL",VLOOKUP("GEN-LEVEL",Languages!$A:$D,Kybermittari!$C$7,TRUE),NA())</f>
        <v>Taso</v>
      </c>
      <c r="D24" s="477"/>
      <c r="E24" s="478" t="str">
        <f>IF(VLOOKUP("GEN-PRACTICE",Languages!$A:$D,1,TRUE)="GEN-PRACTICE",VLOOKUP("GEN-PRACTICE",Languages!$A:$D,Kybermittari!$C$7,TRUE),NA())</f>
        <v>Käytäntö</v>
      </c>
      <c r="F24" s="479"/>
      <c r="G24" s="480"/>
      <c r="H24" s="481"/>
      <c r="I24" s="478" t="str">
        <f>IF(VLOOKUP("GEN-ANSWER",Languages!$A:$D,1,TRUE)="GEN-ANSWER",VLOOKUP("GEN-ANSWER",Languages!$A:$D,Kybermittari!$C$7,TRUE),NA())</f>
        <v>Vastaus</v>
      </c>
      <c r="J24" s="480" t="str">
        <f>IF(VLOOKUP("GEN-COMMENT",Languages!$A:$D,1,TRUE)="GEN-COMMENT",VLOOKUP("GEN-COMMENT",Languages!$A:$D,Kybermittari!$C$7,TRUE),NA())</f>
        <v>Kommentti ja viittaukset</v>
      </c>
      <c r="K24" s="482"/>
      <c r="L24" s="524"/>
      <c r="M24" s="545"/>
      <c r="N24" s="524"/>
      <c r="O24" s="546"/>
      <c r="P24" s="546"/>
    </row>
    <row r="25" spans="1:16" s="547" customFormat="1" ht="10" customHeight="1" x14ac:dyDescent="0.3">
      <c r="A25" s="483"/>
      <c r="B25" s="476"/>
      <c r="C25" s="487"/>
      <c r="D25" s="487"/>
      <c r="E25" s="488"/>
      <c r="F25" s="489"/>
      <c r="G25" s="490"/>
      <c r="H25" s="491"/>
      <c r="I25" s="488"/>
      <c r="J25" s="490"/>
      <c r="K25" s="482"/>
      <c r="L25" s="524"/>
      <c r="M25" s="545"/>
      <c r="N25" s="524"/>
      <c r="O25" s="546"/>
      <c r="P25" s="546"/>
    </row>
    <row r="26" spans="1:16" s="510" customFormat="1" ht="47" customHeight="1" x14ac:dyDescent="0.3">
      <c r="A26" s="524"/>
      <c r="B26" s="749"/>
      <c r="C26" s="765">
        <v>1</v>
      </c>
      <c r="D26" s="508" t="s">
        <v>20</v>
      </c>
      <c r="E26" s="750" t="str">
        <f>IF(VLOOKUP(CONCATENATE($C$2,"-",$D26),Languages!$A:$D,1,TRUE)=CONCATENATE($C$2,"-",$D26),VLOOKUP(CONCATENATE($C$2,"-",$D26),Languages!$A:$D,Kybermittari!$C$7,TRUE),NA())</f>
        <v>Organisaatio tunnistaa toimittajasuhteisiin ja muihin riippuvuuksiin liittyvät merkittävät kyberriskit ja puuttuu niihin - vaikka ei välttämättä systemaattisesti ja kaiken kattavasti.</v>
      </c>
      <c r="F26" s="750"/>
      <c r="G26" s="750"/>
      <c r="H26" s="493">
        <f>IFERROR(INT(LEFT($I26,1)),0)</f>
        <v>0</v>
      </c>
      <c r="I26" s="54"/>
      <c r="J26" s="526"/>
      <c r="K26" s="509"/>
      <c r="L26" s="524"/>
      <c r="M26" s="545"/>
      <c r="N26" s="524"/>
      <c r="O26" s="495"/>
      <c r="P26" s="495"/>
    </row>
    <row r="27" spans="1:16" s="510" customFormat="1" ht="47" customHeight="1" x14ac:dyDescent="0.3">
      <c r="A27" s="524"/>
      <c r="B27" s="749"/>
      <c r="C27" s="767"/>
      <c r="D27" s="508" t="s">
        <v>21</v>
      </c>
      <c r="E27" s="750" t="str">
        <f>IF(VLOOKUP(CONCATENATE($C$2,"-",$D27),Languages!$A:$D,1,TRUE)=CONCATENATE($C$2,"-",$D27),VLOOKUP(CONCATENATE($C$2,"-",$D27),Languages!$A:$D,Kybermittari!$C$7,TRUE),NA())</f>
        <v>Organisaatio huomioi kyberturvallisuusvaatimukset, kun se muodostaa suhteita toimittajien ja muiden kolmansien osapuolten kanssa - vaikka ei välttämättä systemaattisesti ja kaiken kattavasti.</v>
      </c>
      <c r="F27" s="750"/>
      <c r="G27" s="750"/>
      <c r="H27" s="493">
        <f>IFERROR(INT(LEFT($I27,1)),0)</f>
        <v>0</v>
      </c>
      <c r="I27" s="54"/>
      <c r="J27" s="527"/>
      <c r="K27" s="509"/>
      <c r="L27" s="524"/>
      <c r="M27" s="545"/>
      <c r="N27" s="524"/>
      <c r="O27" s="495"/>
      <c r="P27" s="495"/>
    </row>
    <row r="28" spans="1:16" s="510" customFormat="1" ht="10" customHeight="1" x14ac:dyDescent="0.3">
      <c r="A28" s="524"/>
      <c r="B28" s="511"/>
      <c r="C28" s="565"/>
      <c r="D28" s="513"/>
      <c r="E28" s="501"/>
      <c r="F28" s="501"/>
      <c r="G28" s="501"/>
      <c r="H28" s="499"/>
      <c r="I28" s="502"/>
      <c r="J28" s="514"/>
      <c r="K28" s="509"/>
      <c r="L28" s="524"/>
      <c r="M28" s="545"/>
      <c r="N28" s="524"/>
      <c r="O28" s="495"/>
      <c r="P28" s="495"/>
    </row>
    <row r="29" spans="1:16" s="510" customFormat="1" ht="35" customHeight="1" x14ac:dyDescent="0.3">
      <c r="A29" s="524"/>
      <c r="B29" s="511"/>
      <c r="C29" s="765">
        <v>2</v>
      </c>
      <c r="D29" s="508" t="s">
        <v>22</v>
      </c>
      <c r="E29" s="750" t="str">
        <f>IF(VLOOKUP(CONCATENATE($C$2,"-",$D29),Languages!$A:$D,1,TRUE)=CONCATENATE($C$2,"-",$D29),VLOOKUP(CONCATENATE($C$2,"-",$D29),Languages!$A:$D,Kybermittari!$C$7,TRUE),NA())</f>
        <v>Tunnistetut riippuvuuksiin liittyvät kyberriskit kirjataan riskirekisteriin [kts. RISK-1d].</v>
      </c>
      <c r="F29" s="750"/>
      <c r="G29" s="750"/>
      <c r="H29" s="493">
        <f t="shared" ref="H29:H35" si="1">IFERROR(INT(LEFT($I29,1)),0)</f>
        <v>0</v>
      </c>
      <c r="I29" s="54"/>
      <c r="J29" s="527"/>
      <c r="K29" s="509"/>
      <c r="L29" s="524"/>
      <c r="M29" s="545"/>
      <c r="N29" s="524"/>
      <c r="O29" s="495"/>
      <c r="P29" s="495"/>
    </row>
    <row r="30" spans="1:16" s="510" customFormat="1" ht="35" customHeight="1" x14ac:dyDescent="0.3">
      <c r="A30" s="524"/>
      <c r="B30" s="511"/>
      <c r="C30" s="766"/>
      <c r="D30" s="508" t="s">
        <v>23</v>
      </c>
      <c r="E30" s="750" t="str">
        <f>IF(VLOOKUP(CONCATENATE($C$2,"-",$D30),Languages!$A:$D,1,TRUE)=CONCATENATE($C$2,"-",$D30),VLOOKUP(CONCATENATE($C$2,"-",$D30),Languages!$A:$D,Kybermittari!$C$7,TRUE),NA())</f>
        <v>Toimittajien ja muiden kolmansien osapuolten kanssa laadittavissa sopimuksissa huomioidaan kyberuhkatietojen jakaminen.</v>
      </c>
      <c r="F30" s="750"/>
      <c r="G30" s="750"/>
      <c r="H30" s="493">
        <f t="shared" si="1"/>
        <v>0</v>
      </c>
      <c r="I30" s="54"/>
      <c r="J30" s="527"/>
      <c r="K30" s="509"/>
      <c r="L30" s="524"/>
      <c r="M30" s="545"/>
      <c r="N30" s="524"/>
      <c r="O30" s="495"/>
      <c r="P30" s="495"/>
    </row>
    <row r="31" spans="1:16" s="510" customFormat="1" ht="80" customHeight="1" x14ac:dyDescent="0.3">
      <c r="A31" s="524"/>
      <c r="B31" s="511"/>
      <c r="C31" s="766"/>
      <c r="D31" s="508" t="s">
        <v>24</v>
      </c>
      <c r="E31" s="750" t="str">
        <f>IF(VLOOKUP(CONCATENATE($C$2,"-",$D31),Languages!$A:$D,1,TRUE)=CONCATENATE($C$2,"-",$D31),VLOOKUP(CONCATENATE($C$2,"-",$D31),Languages!$A:$D,Kybermittari!$C$7,TRUE),NA())</f>
        <v>Organisaatiolla on vakiintunut tapa asettaa kyberturvallisuusvaatimuksia toimittajien ja muiden kolmansien osapuolten kanssa laadittaviin sopimuksiin (esim. sopimuspohjat). Mikäli toimittajasuhteeseen kuuluu ohjelmistoja tai ohjelmistokehitystä, kuuluu vaatimuksiin turvallisten ohjelmistokehitysmenetelmien noudattaminen.</v>
      </c>
      <c r="F31" s="750"/>
      <c r="G31" s="750"/>
      <c r="H31" s="493">
        <f t="shared" si="1"/>
        <v>0</v>
      </c>
      <c r="I31" s="54"/>
      <c r="J31" s="527"/>
      <c r="K31" s="509"/>
      <c r="L31" s="618"/>
      <c r="M31" s="545"/>
      <c r="N31" s="618"/>
      <c r="O31" s="495"/>
      <c r="P31" s="495"/>
    </row>
    <row r="32" spans="1:16" s="510" customFormat="1" ht="35" customHeight="1" x14ac:dyDescent="0.3">
      <c r="A32" s="524"/>
      <c r="B32" s="511"/>
      <c r="C32" s="766"/>
      <c r="D32" s="508" t="s">
        <v>112</v>
      </c>
      <c r="E32" s="750" t="str">
        <f>IF(VLOOKUP(CONCATENATE($C$2,"-",$D32),Languages!$A:$D,1,TRUE)=CONCATENATE($C$2,"-",$D32),VLOOKUP(CONCATENATE($C$2,"-",$D32),Languages!$A:$D,Kybermittari!$C$7,TRUE),NA())</f>
        <v>Toimittajien ja muiden kolmansien osapuolten kanssa laadittavissa sopimuksissa on mukana kyberturvallisuusvaatimukset.</v>
      </c>
      <c r="F32" s="750"/>
      <c r="G32" s="750"/>
      <c r="H32" s="493">
        <f t="shared" si="1"/>
        <v>0</v>
      </c>
      <c r="I32" s="54"/>
      <c r="J32" s="527"/>
      <c r="K32" s="509"/>
      <c r="L32" s="524"/>
      <c r="M32" s="545"/>
      <c r="N32" s="524"/>
      <c r="O32" s="495"/>
      <c r="P32" s="495"/>
    </row>
    <row r="33" spans="1:16" s="510" customFormat="1" ht="47" customHeight="1" x14ac:dyDescent="0.3">
      <c r="A33" s="524"/>
      <c r="B33" s="511"/>
      <c r="C33" s="766"/>
      <c r="D33" s="508" t="s">
        <v>176</v>
      </c>
      <c r="E33" s="750" t="str">
        <f>IF(VLOOKUP(CONCATENATE($C$2,"-",$D33),Languages!$A:$D,1,TRUE)=CONCATENATE($C$2,"-",$D33),VLOOKUP(CONCATENATE($C$2,"-",$D33),Languages!$A:$D,Kybermittari!$C$7,TRUE),NA())</f>
        <v>Toimittajien ja muiden kolmansien osapuolten arviointi- ja valintaprosessissa sekä muissa hankintapäätöksissä huomioidaan asetettujen kyberturvallisuusvaatimusten täyttyminen.</v>
      </c>
      <c r="F33" s="750"/>
      <c r="G33" s="750"/>
      <c r="H33" s="493">
        <f t="shared" si="1"/>
        <v>0</v>
      </c>
      <c r="I33" s="54"/>
      <c r="J33" s="527"/>
      <c r="K33" s="509"/>
      <c r="L33" s="483"/>
      <c r="M33" s="545"/>
      <c r="N33" s="523"/>
      <c r="O33" s="495"/>
      <c r="P33" s="495"/>
    </row>
    <row r="34" spans="1:16" s="510" customFormat="1" ht="47" customHeight="1" x14ac:dyDescent="0.3">
      <c r="A34" s="524"/>
      <c r="B34" s="511"/>
      <c r="C34" s="766"/>
      <c r="D34" s="508" t="s">
        <v>178</v>
      </c>
      <c r="E34" s="750" t="str">
        <f>IF(VLOOKUP(CONCATENATE($C$2,"-",$D34),Languages!$A:$D,1,TRUE)=CONCATENATE($C$2,"-",$D34),VLOOKUP(CONCATENATE($C$2,"-",$D34),Languages!$A:$D,Kybermittari!$C$7,TRUE),NA())</f>
        <v>Toimittajien ja muiden kolmansien osapuolten kanssa laadittavissa sopimuksissa on mukana vaatimus ilmoittaa tuotteen tai palvelun toimittamiseen liittyvistä kyberhäiriöistä.</v>
      </c>
      <c r="F34" s="750"/>
      <c r="G34" s="750"/>
      <c r="H34" s="493">
        <f t="shared" si="1"/>
        <v>0</v>
      </c>
      <c r="I34" s="54"/>
      <c r="J34" s="527"/>
      <c r="K34" s="509"/>
      <c r="L34" s="483"/>
      <c r="M34" s="545"/>
      <c r="N34" s="523"/>
      <c r="O34" s="495"/>
      <c r="P34" s="495"/>
    </row>
    <row r="35" spans="1:16" s="510" customFormat="1" ht="44" customHeight="1" x14ac:dyDescent="0.3">
      <c r="A35" s="524"/>
      <c r="B35" s="511"/>
      <c r="C35" s="767"/>
      <c r="D35" s="508" t="s">
        <v>209</v>
      </c>
      <c r="E35" s="750" t="str">
        <f>IF(VLOOKUP(CONCATENATE($C$2,"-",$D35),Languages!$A:$D,1,TRUE)=CONCATENATE($C$2,"-",$D35),VLOOKUP(CONCATENATE($C$2,"-",$D35),Languages!$A:$D,Kybermittari!$C$7,TRUE),NA())</f>
        <v>Organisaatio arvioi säännöllisin väliajoin toimittajien ja muiden kolmansien osapuolten kykyä täyttää asetetut kyberturvallisuusvaatimukset.</v>
      </c>
      <c r="F35" s="750"/>
      <c r="G35" s="750"/>
      <c r="H35" s="493">
        <f t="shared" si="1"/>
        <v>0</v>
      </c>
      <c r="I35" s="54"/>
      <c r="J35" s="527"/>
      <c r="K35" s="509"/>
      <c r="L35" s="483"/>
      <c r="M35" s="545"/>
      <c r="N35" s="523"/>
      <c r="O35" s="495"/>
      <c r="P35" s="495"/>
    </row>
    <row r="36" spans="1:16" s="510" customFormat="1" ht="10" customHeight="1" x14ac:dyDescent="0.3">
      <c r="A36" s="524"/>
      <c r="B36" s="511"/>
      <c r="C36" s="565"/>
      <c r="D36" s="513"/>
      <c r="E36" s="501"/>
      <c r="F36" s="501"/>
      <c r="G36" s="501"/>
      <c r="H36" s="499"/>
      <c r="I36" s="502"/>
      <c r="J36" s="514"/>
      <c r="K36" s="509"/>
      <c r="L36" s="483"/>
      <c r="M36" s="545"/>
      <c r="N36" s="523"/>
      <c r="O36" s="495"/>
      <c r="P36" s="495"/>
    </row>
    <row r="37" spans="1:16" s="510" customFormat="1" ht="47" customHeight="1" x14ac:dyDescent="0.3">
      <c r="A37" s="524"/>
      <c r="B37" s="511"/>
      <c r="C37" s="765">
        <v>3</v>
      </c>
      <c r="D37" s="508" t="s">
        <v>211</v>
      </c>
      <c r="E37" s="750" t="str">
        <f>IF(VLOOKUP(CONCATENATE($C$2,"-",$D37),Languages!$A:$D,1,TRUE)=CONCATENATE($C$2,"-",$D37),VLOOKUP(CONCATENATE($C$2,"-",$D37),Languages!$A:$D,Kybermittari!$C$7,TRUE),NA())</f>
        <v>Organisaatio asettamat kyberturvallisuusvaatimukset toimittajien ja muiden kolmansien osapuolten kanssa laadittaviin sopimuksiin perustuvat organisaation määrittämiin riskien arviointikriteereihin [kts. RISK-2b].</v>
      </c>
      <c r="F37" s="750"/>
      <c r="G37" s="750"/>
      <c r="H37" s="493">
        <f>IFERROR(INT(LEFT($I37,1)),0)</f>
        <v>0</v>
      </c>
      <c r="I37" s="54"/>
      <c r="J37" s="527"/>
      <c r="K37" s="509"/>
      <c r="L37" s="483"/>
      <c r="M37" s="545"/>
      <c r="N37" s="523"/>
      <c r="O37" s="495"/>
      <c r="P37" s="495"/>
    </row>
    <row r="38" spans="1:16" s="510" customFormat="1" ht="47" customHeight="1" x14ac:dyDescent="0.3">
      <c r="A38" s="524"/>
      <c r="B38" s="511"/>
      <c r="C38" s="766"/>
      <c r="D38" s="508" t="s">
        <v>213</v>
      </c>
      <c r="E38" s="750" t="str">
        <f>IF(VLOOKUP(CONCATENATE($C$2,"-",$D38),Languages!$A:$D,1,TRUE)=CONCATENATE($C$2,"-",$D38),VLOOKUP(CONCATENATE($C$2,"-",$D38),Languages!$A:$D,Kybermittari!$C$7,TRUE),NA())</f>
        <v>Toimittajien ja muiden kolmansien osapuolten arviointi- ja valintaprosessissa sekä muissa hankintapäätöksissä huomioidaan käyttöiän ("end-of-life") ja käyttötuen ("end-of-support") loppumisen ajankohdat.</v>
      </c>
      <c r="F38" s="750"/>
      <c r="G38" s="750"/>
      <c r="H38" s="493">
        <f>IFERROR(INT(LEFT($I38,1)),0)</f>
        <v>0</v>
      </c>
      <c r="I38" s="54"/>
      <c r="J38" s="527"/>
      <c r="K38" s="509"/>
      <c r="L38" s="524"/>
      <c r="M38" s="545"/>
      <c r="N38" s="524"/>
      <c r="O38" s="495"/>
      <c r="P38" s="495"/>
    </row>
    <row r="39" spans="1:16" s="510" customFormat="1" ht="60" customHeight="1" x14ac:dyDescent="0.3">
      <c r="A39" s="524"/>
      <c r="B39" s="749"/>
      <c r="C39" s="766"/>
      <c r="D39" s="508" t="s">
        <v>215</v>
      </c>
      <c r="E39" s="750" t="str">
        <f>IF(VLOOKUP(CONCATENATE($C$2,"-",$D39),Languages!$A:$D,1,TRUE)=CONCATENATE($C$2,"-",$D39),VLOOKUP(CONCATENATE($C$2,"-",$D39),Languages!$A:$D,Kybermittari!$C$7,TRUE),NA())</f>
        <v>Toimittajien ja muiden kolmansien osapuolten arviointi- ja valintaprosessissa sekä muissa hankintapäätöksissä huomioidaan tarvittavat turvatoimet väärennettyjen tai turvallisuudeltaan vaarantuneiden ohjelmistojen, laitteiden tai palveluiden osalta.</v>
      </c>
      <c r="F39" s="750"/>
      <c r="G39" s="750"/>
      <c r="H39" s="493">
        <f>IFERROR(INT(LEFT($I39,1)),0)</f>
        <v>0</v>
      </c>
      <c r="I39" s="54"/>
      <c r="J39" s="527"/>
      <c r="K39" s="509"/>
      <c r="L39" s="524"/>
      <c r="M39" s="545"/>
      <c r="N39" s="524"/>
      <c r="O39" s="495"/>
      <c r="P39" s="495"/>
    </row>
    <row r="40" spans="1:16" s="510" customFormat="1" ht="47" customHeight="1" x14ac:dyDescent="0.3">
      <c r="A40" s="524"/>
      <c r="B40" s="749"/>
      <c r="C40" s="766"/>
      <c r="D40" s="508" t="s">
        <v>217</v>
      </c>
      <c r="E40" s="750" t="str">
        <f>IF(VLOOKUP(CONCATENATE($C$2,"-",$D40),Languages!$A:$D,1,TRUE)=CONCATENATE($C$2,"-",$D40),VLOOKUP(CONCATENATE($C$2,"-",$D40),Languages!$A:$D,Kybermittari!$C$7,TRUE),NA())</f>
        <v>Organisaatio monitoroi erinäisiä tietolähteitä tunnistaakseen ja välttääkseen toimitusketjuihin liittyviä riskejä (esim. väärennetyt tai turvallisuudeltaan vaarantuneet ohjelmistot, laitteet tai palvelut).</v>
      </c>
      <c r="F40" s="750"/>
      <c r="G40" s="750"/>
      <c r="H40" s="493">
        <f>IFERROR(INT(LEFT($I40,1)),0)</f>
        <v>0</v>
      </c>
      <c r="I40" s="54"/>
      <c r="J40" s="527"/>
      <c r="K40" s="509"/>
      <c r="L40" s="524"/>
      <c r="M40" s="545"/>
      <c r="N40" s="524"/>
      <c r="O40" s="495"/>
      <c r="P40" s="495"/>
    </row>
    <row r="41" spans="1:16" s="510" customFormat="1" ht="35" customHeight="1" x14ac:dyDescent="0.3">
      <c r="A41" s="524"/>
      <c r="B41" s="749"/>
      <c r="C41" s="767"/>
      <c r="D41" s="508" t="s">
        <v>311</v>
      </c>
      <c r="E41" s="750" t="str">
        <f>IF(VLOOKUP(CONCATENATE($C$2,"-",$D41),Languages!$A:$D,1,TRUE)=CONCATENATE($C$2,"-",$D41),VLOOKUP(CONCATENATE($C$2,"-",$D41),Languages!$A:$D,Kybermittari!$C$7,TRUE),NA())</f>
        <v>Hankittavien suojattavien kohteiden hyväksyntätestaukseen kuuluu testaus siitä, täyttävätkö kohteet organisaation kyberturvallisuusvaatimukset.</v>
      </c>
      <c r="F41" s="750"/>
      <c r="G41" s="750"/>
      <c r="H41" s="493">
        <f>IFERROR(INT(LEFT($I41,1)),0)</f>
        <v>0</v>
      </c>
      <c r="I41" s="54"/>
      <c r="J41" s="527"/>
      <c r="K41" s="509"/>
      <c r="L41" s="524"/>
      <c r="M41" s="545"/>
      <c r="N41" s="524"/>
      <c r="O41" s="495"/>
      <c r="P41" s="495"/>
    </row>
    <row r="42" spans="1:16" s="343" customFormat="1" ht="30" customHeight="1" x14ac:dyDescent="0.25">
      <c r="A42" s="332"/>
      <c r="B42" s="461"/>
      <c r="C42" s="336">
        <v>3</v>
      </c>
      <c r="D42" s="336" t="str">
        <f>IF(VLOOKUP(CONCATENATE($C$2,"-",C42),Languages!$A:$D,1,TRUE)=CONCATENATE($C$2,"-",C42),VLOOKUP(CONCATENATE($C$2,"-",C42),Languages!$A:$D,Kybermittari!$C$7,TRUE),NA())</f>
        <v>Yleisiä hallintatoimia</v>
      </c>
      <c r="E42" s="336"/>
      <c r="F42" s="506"/>
      <c r="G42" s="506"/>
      <c r="H42" s="506"/>
      <c r="I42" s="506" t="s">
        <v>19</v>
      </c>
      <c r="J42" s="507"/>
      <c r="K42" s="339"/>
      <c r="L42" s="347"/>
      <c r="M42" s="533"/>
      <c r="N42" s="347"/>
      <c r="O42" s="341"/>
      <c r="P42" s="341"/>
    </row>
    <row r="43" spans="1:16" s="475" customFormat="1" ht="47" customHeight="1" x14ac:dyDescent="0.3">
      <c r="A43" s="524"/>
      <c r="B43" s="525"/>
      <c r="C43" s="753" t="str">
        <f>IF(VLOOKUP(CONCATENATE($C$2,"-",$C42,"-0"),Languages!$A:$D,1,TRUE)=CONCATENATE($C$2,"-",$C42,"-0"),VLOOKUP(CONCATENATE($C$2,"-",$C42,"-0"),Languages!$A:$D,Kybermittari!$C$7,TRUE),NA())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43" s="753"/>
      <c r="E43" s="753"/>
      <c r="F43" s="753"/>
      <c r="G43" s="753"/>
      <c r="H43" s="753"/>
      <c r="I43" s="753"/>
      <c r="J43" s="753"/>
      <c r="K43" s="471"/>
      <c r="L43" s="524"/>
      <c r="M43" s="545"/>
      <c r="N43" s="524"/>
      <c r="O43" s="473"/>
      <c r="P43" s="473"/>
    </row>
    <row r="44" spans="1:16" s="547" customFormat="1" ht="20" customHeight="1" x14ac:dyDescent="0.3">
      <c r="A44" s="483"/>
      <c r="B44" s="476"/>
      <c r="C44" s="477" t="str">
        <f>IF(VLOOKUP("GEN-LEVEL",Languages!$A:$D,1,TRUE)="GEN-LEVEL",VLOOKUP("GEN-LEVEL",Languages!$A:$D,Kybermittari!$C$7,TRUE),NA())</f>
        <v>Taso</v>
      </c>
      <c r="D44" s="477"/>
      <c r="E44" s="478" t="str">
        <f>IF(VLOOKUP("GEN-PRACTICE",Languages!$A:$D,1,TRUE)="GEN-PRACTICE",VLOOKUP("GEN-PRACTICE",Languages!$A:$D,Kybermittari!$C$7,TRUE),NA())</f>
        <v>Käytäntö</v>
      </c>
      <c r="F44" s="479"/>
      <c r="G44" s="480"/>
      <c r="H44" s="481"/>
      <c r="I44" s="478" t="str">
        <f>IF(VLOOKUP("GEN-ANSWER",Languages!$A:$D,1,TRUE)="GEN-ANSWER",VLOOKUP("GEN-ANSWER",Languages!$A:$D,Kybermittari!$C$7,TRUE),NA())</f>
        <v>Vastaus</v>
      </c>
      <c r="J44" s="480" t="str">
        <f>IF(VLOOKUP("GEN-COMMENT",Languages!$A:$D,1,TRUE)="GEN-COMMENT",VLOOKUP("GEN-COMMENT",Languages!$A:$D,Kybermittari!$C$7,TRUE),NA())</f>
        <v>Kommentti ja viittaukset</v>
      </c>
      <c r="K44" s="482"/>
      <c r="L44" s="618"/>
      <c r="M44" s="545"/>
      <c r="N44" s="618"/>
      <c r="O44" s="546"/>
      <c r="P44" s="546"/>
    </row>
    <row r="45" spans="1:16" s="547" customFormat="1" ht="10" customHeight="1" x14ac:dyDescent="0.3">
      <c r="A45" s="483"/>
      <c r="B45" s="476"/>
      <c r="C45" s="477"/>
      <c r="D45" s="487"/>
      <c r="E45" s="488"/>
      <c r="F45" s="489"/>
      <c r="G45" s="490"/>
      <c r="H45" s="491"/>
      <c r="I45" s="488"/>
      <c r="J45" s="490"/>
      <c r="K45" s="482"/>
      <c r="L45" s="618"/>
      <c r="M45" s="545"/>
      <c r="N45" s="618"/>
      <c r="O45" s="546"/>
      <c r="P45" s="546"/>
    </row>
    <row r="46" spans="1:16" s="547" customFormat="1" ht="20" customHeight="1" x14ac:dyDescent="0.3">
      <c r="A46" s="483"/>
      <c r="B46" s="476"/>
      <c r="C46" s="557">
        <v>1</v>
      </c>
      <c r="D46" s="558"/>
      <c r="E46" s="559"/>
      <c r="F46" s="560"/>
      <c r="G46" s="561"/>
      <c r="H46" s="562"/>
      <c r="I46" s="559"/>
      <c r="J46" s="563"/>
      <c r="K46" s="482"/>
      <c r="L46" s="618"/>
      <c r="M46" s="545"/>
      <c r="N46" s="618"/>
      <c r="O46" s="546"/>
      <c r="P46" s="546"/>
    </row>
    <row r="47" spans="1:16" s="547" customFormat="1" ht="10" customHeight="1" x14ac:dyDescent="0.3">
      <c r="A47" s="483"/>
      <c r="B47" s="476"/>
      <c r="C47" s="477"/>
      <c r="D47" s="487"/>
      <c r="E47" s="488"/>
      <c r="F47" s="489"/>
      <c r="G47" s="490"/>
      <c r="H47" s="491"/>
      <c r="I47" s="488"/>
      <c r="J47" s="490"/>
      <c r="K47" s="482"/>
      <c r="L47" s="618"/>
      <c r="M47" s="545"/>
      <c r="N47" s="618"/>
      <c r="O47" s="546"/>
      <c r="P47" s="546"/>
    </row>
    <row r="48" spans="1:16" s="510" customFormat="1" ht="47" customHeight="1" x14ac:dyDescent="0.3">
      <c r="A48" s="524"/>
      <c r="B48" s="749"/>
      <c r="C48" s="768">
        <v>2</v>
      </c>
      <c r="D48" s="508" t="s">
        <v>25</v>
      </c>
      <c r="E48" s="750" t="str">
        <f>IF(VLOOKUP(CONCATENATE($C$2,"-",$D48),Languages!$A:$D,1,TRUE)=CONCATENATE($C$2,"-",$D48),VLOOKUP(CONCATENATE($C$2,"-",$D48),Languages!$A:$D,Kybermittari!$C$7,TRUE),NA())</f>
        <v>Toimitusketjun ja ulkoisten riippuvuuksien hallinnan (DEPENDENCIES) osioon liittyen on määritetty dokumentoidut käytännöt, joita noudatetaan ja pidetään yllä.</v>
      </c>
      <c r="F48" s="750"/>
      <c r="G48" s="750"/>
      <c r="H48" s="493">
        <f>IFERROR(INT(LEFT($I48,1)),0)</f>
        <v>0</v>
      </c>
      <c r="I48" s="54"/>
      <c r="J48" s="527"/>
      <c r="K48" s="509"/>
      <c r="L48" s="524"/>
      <c r="M48" s="545"/>
      <c r="N48" s="524"/>
      <c r="O48" s="495"/>
      <c r="P48" s="495"/>
    </row>
    <row r="49" spans="1:16" s="510" customFormat="1" ht="35" customHeight="1" x14ac:dyDescent="0.3">
      <c r="A49" s="524"/>
      <c r="B49" s="749"/>
      <c r="C49" s="768"/>
      <c r="D49" s="508" t="s">
        <v>26</v>
      </c>
      <c r="E49" s="750" t="str">
        <f>IF(VLOOKUP(CONCATENATE($C$2,"-",$D49),Languages!$A:$D,1,TRUE)=CONCATENATE($C$2,"-",$D49),VLOOKUP(CONCATENATE($C$2,"-",$D49),Languages!$A:$D,Kybermittari!$C$7,TRUE),NA())</f>
        <v>Toimitusketjun ja ulkoisten riippuvuuksien hallinnan (DEPENDENCIES) osion toimintaan on saatavilla riittävät resurssit (henkilöstö, rahoitus ja työkalut).</v>
      </c>
      <c r="F49" s="750"/>
      <c r="G49" s="750"/>
      <c r="H49" s="493">
        <f>IFERROR(INT(LEFT($I49,1)),0)</f>
        <v>0</v>
      </c>
      <c r="I49" s="54"/>
      <c r="J49" s="527"/>
      <c r="K49" s="509"/>
      <c r="L49" s="483"/>
      <c r="M49" s="545"/>
      <c r="N49" s="523"/>
      <c r="O49" s="495"/>
      <c r="P49" s="495"/>
    </row>
    <row r="50" spans="1:16" s="510" customFormat="1" ht="47" customHeight="1" x14ac:dyDescent="0.3">
      <c r="A50" s="524"/>
      <c r="B50" s="749"/>
      <c r="C50" s="768"/>
      <c r="D50" s="508" t="s">
        <v>27</v>
      </c>
      <c r="E50" s="750" t="str">
        <f>IF(VLOOKUP(CONCATENATE($C$2,"-",$D50),Languages!$A:$D,1,TRUE)=CONCATENATE($C$2,"-",$D50),VLOOKUP(CONCATENATE($C$2,"-",$D50),Languages!$A:$D,Kybermittari!$C$7,TRUE),NA())</f>
        <v>Toimitusketjun ja ulkoisten riippuvuuksien hallinnan (DEPENDENCIES) osion toimintaa suorittavilla työntekijöillä on riittävät tiedot ja taidot tehtäviensä suorittamiseen.</v>
      </c>
      <c r="F50" s="750"/>
      <c r="G50" s="750"/>
      <c r="H50" s="493">
        <f>IFERROR(INT(LEFT($I50,1)),0)</f>
        <v>0</v>
      </c>
      <c r="I50" s="54"/>
      <c r="J50" s="527"/>
      <c r="K50" s="509"/>
      <c r="L50" s="483"/>
      <c r="M50" s="545"/>
      <c r="N50" s="523"/>
      <c r="O50" s="495"/>
      <c r="P50" s="495"/>
    </row>
    <row r="51" spans="1:16" s="510" customFormat="1" ht="47" customHeight="1" x14ac:dyDescent="0.3">
      <c r="A51" s="524"/>
      <c r="B51" s="749"/>
      <c r="C51" s="768"/>
      <c r="D51" s="508" t="s">
        <v>28</v>
      </c>
      <c r="E51" s="750" t="str">
        <f>IF(VLOOKUP(CONCATENATE($C$2,"-",$D51),Languages!$A:$D,1,TRUE)=CONCATENATE($C$2,"-",$D51),VLOOKUP(CONCATENATE($C$2,"-",$D51),Languages!$A:$D,Kybermittari!$C$7,TRUE),NA())</f>
        <v>Toimitusketjun ja ulkoisten riippuvuuksien hallinnan (DEPENDENCIES) osion toiminnan suorittamiseen liittyvät vastuut ja valtuudet on osoitettu nimetyille työntekijöille.</v>
      </c>
      <c r="F51" s="750"/>
      <c r="G51" s="750"/>
      <c r="H51" s="493">
        <f>IFERROR(INT(LEFT($I51,1)),0)</f>
        <v>0</v>
      </c>
      <c r="I51" s="54"/>
      <c r="J51" s="527"/>
      <c r="K51" s="509"/>
      <c r="L51" s="483"/>
      <c r="M51" s="545"/>
      <c r="N51" s="523"/>
      <c r="O51" s="495"/>
      <c r="P51" s="495"/>
    </row>
    <row r="52" spans="1:16" s="510" customFormat="1" ht="10" customHeight="1" x14ac:dyDescent="0.3">
      <c r="A52" s="524"/>
      <c r="B52" s="511"/>
      <c r="C52" s="565"/>
      <c r="D52" s="513"/>
      <c r="E52" s="501"/>
      <c r="F52" s="501"/>
      <c r="G52" s="501"/>
      <c r="H52" s="499"/>
      <c r="I52" s="502"/>
      <c r="J52" s="514"/>
      <c r="K52" s="509"/>
      <c r="L52" s="483"/>
      <c r="M52" s="545"/>
      <c r="N52" s="523"/>
      <c r="O52" s="495"/>
      <c r="P52" s="495"/>
    </row>
    <row r="53" spans="1:16" s="510" customFormat="1" ht="60" customHeight="1" x14ac:dyDescent="0.3">
      <c r="A53" s="524"/>
      <c r="B53" s="749"/>
      <c r="C53" s="768">
        <v>3</v>
      </c>
      <c r="D53" s="508" t="s">
        <v>29</v>
      </c>
      <c r="E53" s="750" t="str">
        <f>IF(VLOOKUP(CONCATENATE($C$2,"-",$D53),Languages!$A:$D,1,TRUE)=CONCATENATE($C$2,"-",$D53),VLOOKUP(CONCATENATE($C$2,"-",$D53),Languages!$A:$D,Kybermittari!$C$7,TRUE),NA())</f>
        <v>Toimitusketjun ja ulkoisten riippuvuuksien hallinnan (DEPENDENCIES) osion toiminta perustuu organisaation määrittämään ja ylläpitämään johtotason politiikkaan (tai vastaavaan ohjeistukseen), jossa asetetaan nimenomaisia vaatimuksia tämän osion toiminnalle.</v>
      </c>
      <c r="F53" s="750"/>
      <c r="G53" s="750"/>
      <c r="H53" s="493">
        <f>IFERROR(INT(LEFT($I53,1)),0)</f>
        <v>0</v>
      </c>
      <c r="I53" s="54"/>
      <c r="J53" s="527"/>
      <c r="K53" s="509"/>
      <c r="L53" s="483"/>
      <c r="M53" s="545"/>
      <c r="N53" s="523"/>
      <c r="O53" s="495"/>
      <c r="P53" s="495"/>
    </row>
    <row r="54" spans="1:16" s="510" customFormat="1" ht="47" customHeight="1" x14ac:dyDescent="0.3">
      <c r="A54" s="524"/>
      <c r="B54" s="749"/>
      <c r="C54" s="768"/>
      <c r="D54" s="508" t="s">
        <v>30</v>
      </c>
      <c r="E54" s="750" t="str">
        <f>IF(VLOOKUP(CONCATENATE($C$2,"-",$D54),Languages!$A:$D,1,TRUE)=CONCATENATE($C$2,"-",$D54),VLOOKUP(CONCATENATE($C$2,"-",$D54),Languages!$A:$D,Kybermittari!$C$7,TRUE),NA())</f>
        <v>Toimitusketjun ja ulkoisten riippuvuuksien hallinnan (DEPENDENCIES) osion toiminnalle on määritetty suoriutumistavoitteet, joiden toteutumista seurataan [kts. PROGRAM-1b].</v>
      </c>
      <c r="F54" s="750"/>
      <c r="G54" s="750"/>
      <c r="H54" s="493">
        <f>IFERROR(INT(LEFT($I54,1)),0)</f>
        <v>0</v>
      </c>
      <c r="I54" s="54"/>
      <c r="J54" s="527"/>
      <c r="K54" s="509"/>
      <c r="L54" s="524"/>
      <c r="M54" s="545"/>
      <c r="N54" s="524"/>
      <c r="O54" s="495"/>
      <c r="P54" s="495"/>
    </row>
    <row r="55" spans="1:16" s="510" customFormat="1" ht="47" customHeight="1" x14ac:dyDescent="0.3">
      <c r="A55" s="524"/>
      <c r="B55" s="749"/>
      <c r="C55" s="768"/>
      <c r="D55" s="508" t="s">
        <v>31</v>
      </c>
      <c r="E55" s="750" t="str">
        <f>IF(VLOOKUP(CONCATENATE($C$2,"-",$D55),Languages!$A:$D,1,TRUE)=CONCATENATE($C$2,"-",$D55),VLOOKUP(CONCATENATE($C$2,"-",$D55),Languages!$A:$D,Kybermittari!$C$7,TRUE),NA())</f>
        <v>Toimitusketjun ja ulkoisten riippuvuuksien hallinnan (DEPENDENCIES) osioon liittyvät käytännöt on standardoitu läpi koko organisaation ja niitä kehitetään aktiivisesti.</v>
      </c>
      <c r="F55" s="750"/>
      <c r="G55" s="750"/>
      <c r="H55" s="493">
        <f>IFERROR(INT(LEFT($I55,1)),0)</f>
        <v>0</v>
      </c>
      <c r="I55" s="54"/>
      <c r="J55" s="527"/>
      <c r="K55" s="509"/>
      <c r="L55" s="524"/>
      <c r="M55" s="545"/>
      <c r="N55" s="524"/>
      <c r="O55" s="495"/>
      <c r="P55" s="495"/>
    </row>
    <row r="56" spans="1:16" x14ac:dyDescent="0.25">
      <c r="A56" s="347"/>
      <c r="B56" s="619"/>
      <c r="C56" s="620"/>
      <c r="D56" s="621"/>
      <c r="E56" s="622"/>
      <c r="F56" s="622"/>
      <c r="G56" s="622"/>
      <c r="H56" s="623"/>
      <c r="I56" s="624"/>
      <c r="J56" s="625"/>
      <c r="K56" s="626"/>
      <c r="L56" s="347"/>
      <c r="M56" s="533"/>
      <c r="N56" s="347"/>
    </row>
    <row r="57" spans="1:16" x14ac:dyDescent="0.25">
      <c r="A57" s="347"/>
      <c r="B57" s="347"/>
      <c r="C57" s="347"/>
      <c r="D57" s="347"/>
      <c r="E57" s="347"/>
      <c r="F57" s="347"/>
      <c r="G57" s="347"/>
      <c r="H57" s="627"/>
      <c r="I57" s="347"/>
      <c r="J57" s="347"/>
      <c r="K57" s="347"/>
      <c r="L57" s="347"/>
      <c r="M57" s="533"/>
      <c r="N57" s="347"/>
    </row>
    <row r="58" spans="1:16" x14ac:dyDescent="0.25">
      <c r="M58" s="630"/>
    </row>
    <row r="59" spans="1:16" x14ac:dyDescent="0.25">
      <c r="M59" s="630"/>
    </row>
    <row r="60" spans="1:16" x14ac:dyDescent="0.25">
      <c r="M60" s="630"/>
    </row>
    <row r="61" spans="1:16" x14ac:dyDescent="0.25">
      <c r="M61" s="630"/>
    </row>
    <row r="62" spans="1:16" x14ac:dyDescent="0.25">
      <c r="M62" s="630"/>
    </row>
    <row r="63" spans="1:16" x14ac:dyDescent="0.25">
      <c r="M63" s="630"/>
    </row>
  </sheetData>
  <sheetProtection sheet="1" objects="1" scenarios="1"/>
  <mergeCells count="45">
    <mergeCell ref="B48:B51"/>
    <mergeCell ref="C48:C51"/>
    <mergeCell ref="C5:J5"/>
    <mergeCell ref="E32:G32"/>
    <mergeCell ref="E33:G33"/>
    <mergeCell ref="E34:G34"/>
    <mergeCell ref="E21:G21"/>
    <mergeCell ref="C10:J10"/>
    <mergeCell ref="E48:G48"/>
    <mergeCell ref="E49:G49"/>
    <mergeCell ref="E50:G50"/>
    <mergeCell ref="E51:G51"/>
    <mergeCell ref="C23:J23"/>
    <mergeCell ref="E35:G35"/>
    <mergeCell ref="E37:G37"/>
    <mergeCell ref="C43:J43"/>
    <mergeCell ref="B53:B55"/>
    <mergeCell ref="C53:C55"/>
    <mergeCell ref="E53:G53"/>
    <mergeCell ref="E54:G54"/>
    <mergeCell ref="E55:G55"/>
    <mergeCell ref="B26:B27"/>
    <mergeCell ref="C26:C27"/>
    <mergeCell ref="E26:G26"/>
    <mergeCell ref="E27:G27"/>
    <mergeCell ref="B39:B41"/>
    <mergeCell ref="E39:G39"/>
    <mergeCell ref="E40:G40"/>
    <mergeCell ref="E41:G41"/>
    <mergeCell ref="E38:G38"/>
    <mergeCell ref="C29:C35"/>
    <mergeCell ref="C37:C41"/>
    <mergeCell ref="E29:G29"/>
    <mergeCell ref="E30:G30"/>
    <mergeCell ref="E31:G31"/>
    <mergeCell ref="B13:B14"/>
    <mergeCell ref="C13:C14"/>
    <mergeCell ref="E13:G13"/>
    <mergeCell ref="E14:G14"/>
    <mergeCell ref="B16:B19"/>
    <mergeCell ref="C16:C19"/>
    <mergeCell ref="E16:G16"/>
    <mergeCell ref="E17:G17"/>
    <mergeCell ref="E18:G18"/>
    <mergeCell ref="E19:G19"/>
  </mergeCells>
  <conditionalFormatting sqref="H1:H1048576">
    <cfRule type="containsText" dxfId="63" priority="5"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3085B42A-23B5-4DDA-80A7-EFE3C26BDEF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I13:I14 I16:I19 I21 I26:I27 I29:I35 I37:I41 I53:I55 I48:I51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79998168889431442"/>
  </sheetPr>
  <dimension ref="A1:P74"/>
  <sheetViews>
    <sheetView showGridLines="0" zoomScaleNormal="100" workbookViewId="0">
      <selection activeCell="I15" sqref="I15"/>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351" customWidth="1"/>
    <col min="8" max="8" width="2.640625" style="390" customWidth="1"/>
    <col min="9" max="9" width="14.640625" style="351" customWidth="1"/>
    <col min="10" max="10" width="45.640625" style="34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344"/>
      <c r="H1" s="632"/>
      <c r="I1" s="344"/>
      <c r="J1" s="344"/>
      <c r="K1" s="344"/>
      <c r="L1" s="344"/>
      <c r="M1" s="588"/>
      <c r="N1" s="344"/>
    </row>
    <row r="2" spans="1:16" s="343" customFormat="1" ht="25" customHeight="1" x14ac:dyDescent="0.25">
      <c r="A2" s="332"/>
      <c r="B2" s="589"/>
      <c r="C2" s="590" t="s">
        <v>51</v>
      </c>
      <c r="D2" s="591"/>
      <c r="E2" s="592"/>
      <c r="F2" s="592"/>
      <c r="G2" s="592"/>
      <c r="H2" s="593"/>
      <c r="I2" s="592"/>
      <c r="J2" s="594"/>
      <c r="K2" s="595"/>
      <c r="L2" s="332"/>
      <c r="M2" s="533"/>
      <c r="N2" s="332"/>
      <c r="O2" s="341"/>
      <c r="P2" s="341"/>
    </row>
    <row r="3" spans="1:16" ht="25" customHeight="1" x14ac:dyDescent="0.35">
      <c r="A3" s="344"/>
      <c r="B3" s="532"/>
      <c r="C3" s="321" t="str">
        <f>IF(VLOOKUP($C$2,Languages!$A:$D,1,TRUE)=$C$2,VLOOKUP($C$2,Languages!$A:$D,Kybermittari!$C$7,TRUE),NA())</f>
        <v>Omaisuuden, muutoksen ja konfiguraation hallinta</v>
      </c>
      <c r="D3" s="609"/>
      <c r="E3" s="605"/>
      <c r="H3" s="452"/>
      <c r="J3" s="375"/>
      <c r="K3" s="356"/>
      <c r="L3" s="344"/>
      <c r="M3" s="533"/>
      <c r="N3" s="344"/>
    </row>
    <row r="4" spans="1:16" ht="10" customHeight="1" x14ac:dyDescent="0.25">
      <c r="A4" s="344"/>
      <c r="B4" s="532"/>
      <c r="C4" s="605"/>
      <c r="D4" s="606"/>
      <c r="E4" s="606"/>
      <c r="F4" s="606"/>
      <c r="G4" s="606"/>
      <c r="H4" s="452"/>
      <c r="I4" s="452"/>
      <c r="J4" s="375"/>
      <c r="K4" s="356"/>
      <c r="L4" s="344"/>
      <c r="M4" s="533"/>
      <c r="N4" s="344"/>
    </row>
    <row r="5" spans="1:16" ht="60" customHeight="1" x14ac:dyDescent="0.25">
      <c r="A5" s="344"/>
      <c r="B5" s="532"/>
      <c r="C5" s="758" t="str">
        <f>IF(VLOOKUP(CONCATENATE(C2,"-0"),Languages!$A:$D,1,TRUE)=CONCATENATE(C2,"-0"),VLOOKUP(CONCATENATE(C2,"-0"),Languages!$A:$D,Kybermittari!$C$7,TRUE),NA())</f>
        <v>Omaisuuden, muutoksen ja konfiguraation hallinnan osiossa arvioidaan organisaation kykyä hallita toiminnan osa-alueen toimintavarmuuden kannalta tärkeää omaisuutta ja tähän omaisuuteen liittyviä muutoksia ja konfiguraatioita. Omaisuudella tarkoitetaan organisaation IT- ja OT-omaisuutta (mkl. laitteet ja ohjelmistot) sekä tietovarantoja. Organisaation tulee hallinnoida tätä omaisuutta suhteessa sekä omaisuuteen kohdistuviin riskeihin, että organisaation asettamiin tavoitteisiin.</v>
      </c>
      <c r="D5" s="758"/>
      <c r="E5" s="758"/>
      <c r="F5" s="758"/>
      <c r="G5" s="758"/>
      <c r="H5" s="758"/>
      <c r="I5" s="758"/>
      <c r="J5" s="758"/>
      <c r="K5" s="356"/>
      <c r="L5" s="344"/>
      <c r="M5" s="533"/>
      <c r="N5" s="344"/>
    </row>
    <row r="6" spans="1:16" ht="14.5" x14ac:dyDescent="0.25">
      <c r="A6" s="344"/>
      <c r="B6" s="532"/>
      <c r="C6" s="456">
        <v>1</v>
      </c>
      <c r="D6" s="457" t="s">
        <v>2</v>
      </c>
      <c r="E6" s="458" t="str">
        <f>IF(VLOOKUP(CONCATENATE($C$2,"-",C6),Languages!$A:$D,1,TRUE)=CONCATENATE($C$2,"-",C6),VLOOKUP(CONCATENATE($C$2,"-",C6),Languages!$A:$D,Kybermittari!$C$7,TRUE),NA())</f>
        <v>IT- ja OT-omaisuuden rekisterin hallinta</v>
      </c>
      <c r="F6" s="607"/>
      <c r="G6" s="386"/>
      <c r="H6" s="633"/>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Tietovarantojen rekisterin hallinta</v>
      </c>
      <c r="F7" s="607"/>
      <c r="G7" s="386"/>
      <c r="H7" s="634"/>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Suojattavan omaisuuden konfiguraation hallinta</v>
      </c>
      <c r="F8" s="607"/>
      <c r="G8" s="386"/>
      <c r="H8" s="362"/>
      <c r="I8" s="459" t="str">
        <f ca="1">VLOOKUP(VLOOKUP(CONCATENATE($C$2,"-",$C8),Data!$K:$O,5,FALSE),Parameters!$C$7:$F$10,Kybermittari!$C$7,FALSE)</f>
        <v>Kypsyystaso 0</v>
      </c>
      <c r="J8" s="718"/>
      <c r="K8" s="356"/>
      <c r="L8" s="344"/>
      <c r="M8" s="533"/>
      <c r="N8" s="344"/>
    </row>
    <row r="9" spans="1:16" ht="14.5" x14ac:dyDescent="0.25">
      <c r="A9" s="344"/>
      <c r="B9" s="532"/>
      <c r="C9" s="456">
        <v>4</v>
      </c>
      <c r="D9" s="457" t="s">
        <v>2</v>
      </c>
      <c r="E9" s="458" t="str">
        <f>IF(VLOOKUP(CONCATENATE($C$2,"-",C9),Languages!$A:$D,1,TRUE)=CONCATENATE($C$2,"-",C9),VLOOKUP(CONCATENATE($C$2,"-",C9),Languages!$A:$D,Kybermittari!$C$7,TRUE),NA())</f>
        <v>Suojattavien kohteiden muutoksenhallinta</v>
      </c>
      <c r="F9" s="607"/>
      <c r="G9" s="386"/>
      <c r="H9" s="633"/>
      <c r="I9" s="459" t="str">
        <f ca="1">VLOOKUP(VLOOKUP(CONCATENATE($C$2,"-",$C9),Data!$K:$O,5,FALSE),Parameters!$C$7:$F$10,Kybermittari!$C$7,FALSE)</f>
        <v>Kypsyystaso 0</v>
      </c>
      <c r="J9" s="611"/>
      <c r="K9" s="356"/>
      <c r="L9" s="344"/>
      <c r="M9" s="533"/>
      <c r="N9" s="344"/>
    </row>
    <row r="10" spans="1:16" ht="14.5" x14ac:dyDescent="0.25">
      <c r="A10" s="344"/>
      <c r="B10" s="532"/>
      <c r="C10" s="456">
        <v>5</v>
      </c>
      <c r="D10" s="457" t="s">
        <v>2</v>
      </c>
      <c r="E10" s="458" t="str">
        <f>IF(VLOOKUP(CONCATENATE($C$2,"-",C10),Languages!$A:$D,1,TRUE)=CONCATENATE($C$2,"-",C10),VLOOKUP(CONCATENATE($C$2,"-",C10),Languages!$A:$D,Kybermittari!$C$7,TRUE),NA())</f>
        <v>Yleisiä hallintatoimia</v>
      </c>
      <c r="F10" s="607"/>
      <c r="G10" s="386"/>
      <c r="H10" s="633"/>
      <c r="I10" s="459" t="str">
        <f ca="1">VLOOKUP(VLOOKUP(CONCATENATE($C$2,"-",$C10),Data!$K:$O,5,FALSE),Parameters!$C$7:$F$10,Kybermittari!$C$7,FALSE)</f>
        <v>Kypsyystaso 1</v>
      </c>
      <c r="J10" s="611"/>
      <c r="K10" s="356"/>
      <c r="L10" s="467"/>
      <c r="M10" s="533"/>
      <c r="N10" s="332"/>
    </row>
    <row r="11" spans="1:16" s="343" customFormat="1" ht="30" customHeight="1" x14ac:dyDescent="0.25">
      <c r="A11" s="332"/>
      <c r="B11" s="461"/>
      <c r="C11" s="336">
        <v>1</v>
      </c>
      <c r="D11" s="336" t="str">
        <f>IF(VLOOKUP(CONCATENATE($C$2,"-",C11),Languages!$A:$D,1,TRUE)=CONCATENATE($C$2,"-",C11),VLOOKUP(CONCATENATE($C$2,"-",C11),Languages!$A:$D,Kybermittari!$C$7,TRUE),NA())</f>
        <v>IT- ja OT-omaisuuden rekisterin hallinta</v>
      </c>
      <c r="E11" s="336"/>
      <c r="F11" s="463"/>
      <c r="G11" s="463"/>
      <c r="H11" s="464"/>
      <c r="I11" s="464"/>
      <c r="J11" s="465"/>
      <c r="K11" s="466"/>
      <c r="L11" s="344"/>
      <c r="M11" s="533"/>
      <c r="N11" s="344"/>
      <c r="O11" s="341"/>
      <c r="P11" s="341"/>
    </row>
    <row r="12" spans="1:16" s="475" customFormat="1" ht="60" customHeight="1" x14ac:dyDescent="0.3">
      <c r="A12" s="469"/>
      <c r="B12" s="470"/>
      <c r="C12" s="753" t="str">
        <f>IF(VLOOKUP(CONCATENATE($C$2,"-",$C11,"-0"),Languages!$A:$D,1,TRUE)=CONCATENATE($C$2,"-",$C11,"-0"),VLOOKUP(CONCATENATE($C$2,"-",$C11,"-0"),Languages!$A:$D,Kybermittari!$C$7,TRUE),NA())</f>
        <v>Rekisteri toiminnan osa-alueen toimintavarmuuden kannalta tärkeästä IT- ja OT-omaisuudesta on tärkeä osa kyberriskienhallintaa. Tärkeiden tietojen (kuten ohjelmistojen versionumerojen, fyysisen sijainnin, kohteen omistajan ja kriittisyyden) rekisteröinti on edellytys monille muille kyberturvallisuuden hallintatoimille. Rekisteriin kirjatut tiedot voivat esimerkiksi kertoa mihin päivitystä tarvitseva ohjelmisto on asennettu tai onko organisaatiolla käytössään haavoittuvuuden kohteeksi joutunutta laitetta tai ohjelmistoa.</v>
      </c>
      <c r="D12" s="753"/>
      <c r="E12" s="753"/>
      <c r="F12" s="753"/>
      <c r="G12" s="753"/>
      <c r="H12" s="753"/>
      <c r="I12" s="753"/>
      <c r="J12" s="753"/>
      <c r="K12" s="471"/>
      <c r="L12" s="483"/>
      <c r="M12" s="545"/>
      <c r="N12" s="483"/>
      <c r="O12" s="473"/>
      <c r="P12" s="473"/>
    </row>
    <row r="13" spans="1:16" s="486" customFormat="1" ht="20" customHeight="1" x14ac:dyDescent="0.3">
      <c r="A13" s="523"/>
      <c r="B13" s="476"/>
      <c r="C13" s="477" t="str">
        <f>IF(VLOOKUP("GEN-LEVEL",Languages!$A:$D,1,TRUE)="GEN-LEVEL",VLOOKUP("GEN-LEVEL",Languages!$A:$D,Kybermittari!$C$7,TRUE),NA())</f>
        <v>Taso</v>
      </c>
      <c r="D13" s="477"/>
      <c r="E13" s="478" t="str">
        <f>IF(VLOOKUP("GEN-PRACTICE",Languages!$A:$D,1,TRUE)="GEN-PRACTICE",VLOOKUP("GEN-PRACTICE",Languages!$A:$D,Kybermittari!$C$7,TRUE),NA())</f>
        <v>Käytäntö</v>
      </c>
      <c r="F13" s="479"/>
      <c r="G13" s="480"/>
      <c r="H13" s="481"/>
      <c r="I13" s="478" t="str">
        <f>IF(VLOOKUP("GEN-ANSWER",Languages!$A:$D,1,TRUE)="GEN-ANSWER",VLOOKUP("GEN-ANSWER",Languages!$A:$D,Kybermittari!$C$7,TRUE),NA())</f>
        <v>Vastaus</v>
      </c>
      <c r="J13" s="480" t="str">
        <f>IF(VLOOKUP("GEN-COMMENT",Languages!$A:$D,1,TRUE)="GEN-COMMENT",VLOOKUP("GEN-COMMENT",Languages!$A:$D,Kybermittari!$C$7,TRUE),NA())</f>
        <v>Kommentti ja viittaukset</v>
      </c>
      <c r="K13" s="482"/>
      <c r="L13" s="483"/>
      <c r="M13" s="545"/>
      <c r="N13" s="483"/>
      <c r="O13" s="484"/>
      <c r="P13" s="484"/>
    </row>
    <row r="14" spans="1:16" s="486" customFormat="1" ht="10" customHeight="1" x14ac:dyDescent="0.3">
      <c r="A14" s="523"/>
      <c r="B14" s="476"/>
      <c r="C14" s="487"/>
      <c r="D14" s="487"/>
      <c r="E14" s="488"/>
      <c r="F14" s="489"/>
      <c r="G14" s="490"/>
      <c r="H14" s="491"/>
      <c r="I14" s="488"/>
      <c r="J14" s="490"/>
      <c r="K14" s="482"/>
      <c r="L14" s="483"/>
      <c r="M14" s="545"/>
      <c r="N14" s="483"/>
      <c r="O14" s="484"/>
      <c r="P14" s="484"/>
    </row>
    <row r="15" spans="1:16" s="495" customFormat="1" ht="44.5" customHeight="1" x14ac:dyDescent="0.3">
      <c r="A15" s="469"/>
      <c r="B15" s="757"/>
      <c r="C15" s="721">
        <v>1</v>
      </c>
      <c r="D15" s="492" t="s">
        <v>7</v>
      </c>
      <c r="E15" s="750" t="str">
        <f>IF(VLOOKUP(CONCATENATE($C$2,"-",$D15),Languages!$A:$D,1,TRUE)=CONCATENATE($C$2,"-",$D15),VLOOKUP(CONCATENATE($C$2,"-",$D15),Languages!$A:$D,Kybermittari!$C$7,TRUE),NA())</f>
        <v>Organisaatiolla on rekisteri toiminnan osa-alueen toimintavarmuuden kannalta tärkeästä IT- ja OT-omaisuudesta - vaikka rekisterin ylläpito ei välttämättä ole systemaattista tai kaikenkattavaa.</v>
      </c>
      <c r="F15" s="750"/>
      <c r="G15" s="750"/>
      <c r="H15" s="493">
        <f t="shared" ref="H15" si="0">IFERROR(INT(LEFT($I15,1)),0)</f>
        <v>0</v>
      </c>
      <c r="I15" s="54"/>
      <c r="J15" s="526"/>
      <c r="K15" s="494"/>
      <c r="L15" s="469"/>
      <c r="M15" s="545"/>
      <c r="N15" s="469"/>
    </row>
    <row r="16" spans="1:16" s="495" customFormat="1" ht="10" customHeight="1" x14ac:dyDescent="0.3">
      <c r="A16" s="469"/>
      <c r="B16" s="757"/>
      <c r="C16" s="498"/>
      <c r="D16" s="499"/>
      <c r="E16" s="501"/>
      <c r="F16" s="501"/>
      <c r="G16" s="501"/>
      <c r="H16" s="499"/>
      <c r="I16" s="502"/>
      <c r="J16" s="502"/>
      <c r="K16" s="494"/>
      <c r="L16" s="469"/>
      <c r="M16" s="545"/>
      <c r="N16" s="469"/>
    </row>
    <row r="17" spans="1:16" s="495" customFormat="1" ht="105" customHeight="1" x14ac:dyDescent="0.3">
      <c r="A17" s="469"/>
      <c r="B17" s="757"/>
      <c r="C17" s="769">
        <v>2</v>
      </c>
      <c r="D17" s="492" t="s">
        <v>9</v>
      </c>
      <c r="E17" s="750" t="str">
        <f>IF(VLOOKUP(CONCATENATE($C$2,"-",$D17),Languages!$A:$D,1,TRUE)=CONCATENATE($C$2,"-",$D17),VLOOKUP(CONCATENATE($C$2,"-",$D17),Languages!$A:$D,Kybermittari!$C$7,TRUE),NA())</f>
        <v>Omaisuusrekisteriin kirjataan tiedot, joita organisaatio tarvitsee kyberturvallisuuteen liittyvien toimintojen hoitamiseen ja organisaation kyberturvallisuusstrategian tueksi [kts. PROGRAM-1a]. (Tällaisia tietoja ovat esimerkiksi sijaintipaikat, suojattavien kohteiden omistajuudet, turvallisuusvaatimukset, riippuvuudet, palvelutasot, elinkaaren ja tuen saatavuuden tiedot sekä vaatimustenmukaisuus relevantien toimiala-standardien kanssa).</v>
      </c>
      <c r="F17" s="750"/>
      <c r="G17" s="750"/>
      <c r="H17" s="493">
        <f>IFERROR(INT(LEFT($I17,1)),0)</f>
        <v>0</v>
      </c>
      <c r="I17" s="54"/>
      <c r="J17" s="526"/>
      <c r="K17" s="494"/>
      <c r="L17" s="469"/>
      <c r="M17" s="545"/>
      <c r="N17" s="469"/>
    </row>
    <row r="18" spans="1:16" s="495" customFormat="1" ht="30.5" customHeight="1" x14ac:dyDescent="0.3">
      <c r="A18" s="469"/>
      <c r="B18" s="757"/>
      <c r="C18" s="769"/>
      <c r="D18" s="492" t="s">
        <v>10</v>
      </c>
      <c r="E18" s="750" t="str">
        <f>IF(VLOOKUP(CONCATENATE($C$2,"-",$D18),Languages!$A:$D,1,TRUE)=CONCATENATE($C$2,"-",$D18),VLOOKUP(CONCATENATE($C$2,"-",$D18),Languages!$A:$D,Kybermittari!$C$7,TRUE),NA())</f>
        <v>Organisaatio priorisoi rekisteröidyn omaisuuden käyttäen virallisia ja dokumentoituja priorisointikriteerejä.</v>
      </c>
      <c r="F18" s="750"/>
      <c r="G18" s="750"/>
      <c r="H18" s="493">
        <f>IFERROR(INT(LEFT($I18,1)),0)</f>
        <v>0</v>
      </c>
      <c r="I18" s="54"/>
      <c r="J18" s="526"/>
      <c r="K18" s="494"/>
      <c r="L18" s="549"/>
      <c r="M18" s="545"/>
      <c r="N18" s="549"/>
    </row>
    <row r="19" spans="1:16" s="495" customFormat="1" ht="10" customHeight="1" x14ac:dyDescent="0.3">
      <c r="A19" s="469"/>
      <c r="B19" s="757"/>
      <c r="C19" s="498"/>
      <c r="D19" s="499"/>
      <c r="E19" s="501"/>
      <c r="F19" s="501"/>
      <c r="G19" s="501"/>
      <c r="H19" s="499"/>
      <c r="I19" s="502"/>
      <c r="J19" s="502"/>
      <c r="K19" s="494"/>
      <c r="L19" s="549"/>
      <c r="M19" s="545"/>
      <c r="N19" s="549"/>
    </row>
    <row r="20" spans="1:16" s="495" customFormat="1" ht="35" customHeight="1" x14ac:dyDescent="0.3">
      <c r="A20" s="469"/>
      <c r="B20" s="757"/>
      <c r="C20" s="759">
        <v>3</v>
      </c>
      <c r="D20" s="492" t="s">
        <v>11</v>
      </c>
      <c r="E20" s="756" t="str">
        <f>IF(VLOOKUP(CONCATENATE($C$2,"-",$D20),Languages!$A:$D,1,TRUE)=CONCATENATE($C$2,"-",$D20),VLOOKUP(CONCATENATE($C$2,"-",$D20),Languages!$A:$D,Kybermittari!$C$7,TRUE),NA())</f>
        <v>Organisaatiolla on omaisuusrekisteri kaikesta toiminnan osa-alueen toimintavarmuuden kannalta tärkeästä IT- ja OT-omaisuudesta.</v>
      </c>
      <c r="F20" s="756"/>
      <c r="G20" s="756"/>
      <c r="H20" s="493">
        <f>IFERROR(INT(LEFT($I20,1)),0)</f>
        <v>0</v>
      </c>
      <c r="I20" s="54"/>
      <c r="J20" s="526"/>
      <c r="K20" s="494"/>
      <c r="L20" s="469"/>
      <c r="M20" s="545"/>
      <c r="N20" s="469"/>
    </row>
    <row r="21" spans="1:16" s="495" customFormat="1" ht="35" customHeight="1" x14ac:dyDescent="0.3">
      <c r="A21" s="469"/>
      <c r="B21" s="757"/>
      <c r="C21" s="760"/>
      <c r="D21" s="503" t="s">
        <v>12</v>
      </c>
      <c r="E21" s="756" t="str">
        <f>IF(VLOOKUP(CONCATENATE($C$2,"-",$D21),Languages!$A:$D,1,TRUE)=CONCATENATE($C$2,"-",$D21),VLOOKUP(CONCATENATE($C$2,"-",$D21),Languages!$A:$D,Kybermittari!$C$7,TRUE),NA())</f>
        <v>Omaisuusrekisteri on ajan tasalla (organisaation määrittämien kriteerin mukaisesti).</v>
      </c>
      <c r="F21" s="756"/>
      <c r="G21" s="756"/>
      <c r="H21" s="493">
        <f>IFERROR(INT(LEFT($I21,1)),0)</f>
        <v>0</v>
      </c>
      <c r="I21" s="54"/>
      <c r="J21" s="527"/>
      <c r="K21" s="504"/>
      <c r="L21" s="469"/>
      <c r="M21" s="545"/>
      <c r="N21" s="469"/>
    </row>
    <row r="22" spans="1:16" s="495" customFormat="1" ht="48" customHeight="1" x14ac:dyDescent="0.3">
      <c r="A22" s="469"/>
      <c r="B22" s="757"/>
      <c r="C22" s="761"/>
      <c r="D22" s="503" t="s">
        <v>13</v>
      </c>
      <c r="E22" s="756" t="str">
        <f>IF(VLOOKUP(CONCATENATE($C$2,"-",$D22),Languages!$A:$D,1,TRUE)=CONCATENATE($C$2,"-",$D22),VLOOKUP(CONCATENATE($C$2,"-",$D22),Languages!$A:$D,Kybermittari!$C$7,TRUE),NA())</f>
        <v>Omaisuusrekisteriä hyödynnetään kyberriskien tunnistamisessa (esim. elinkaaren ja tuen saatavuuden päättyminen; yksittäiset pisteet, joiden toimintahäiriö voi keskeyttäisi koko palvelun ("single point of failure")).</v>
      </c>
      <c r="F22" s="756"/>
      <c r="G22" s="756"/>
      <c r="H22" s="493">
        <f>IFERROR(INT(LEFT($I22,1)),0)</f>
        <v>0</v>
      </c>
      <c r="I22" s="54"/>
      <c r="J22" s="527"/>
      <c r="K22" s="504"/>
      <c r="L22" s="524"/>
      <c r="M22" s="545"/>
      <c r="N22" s="524"/>
    </row>
    <row r="23" spans="1:16" s="343" customFormat="1" ht="30" customHeight="1" x14ac:dyDescent="0.25">
      <c r="A23" s="332"/>
      <c r="B23" s="461"/>
      <c r="C23" s="336">
        <v>2</v>
      </c>
      <c r="D23" s="336" t="str">
        <f>IF(VLOOKUP(CONCATENATE($C$2,"-",C23),Languages!$A:$D,1,TRUE)=CONCATENATE($C$2,"-",C23),VLOOKUP(CONCATENATE($C$2,"-",C23),Languages!$A:$D,Kybermittari!$C$7,TRUE),NA())</f>
        <v>Tietovarantojen rekisterin hallinta</v>
      </c>
      <c r="E23" s="336"/>
      <c r="F23" s="506"/>
      <c r="G23" s="506"/>
      <c r="H23" s="507"/>
      <c r="I23" s="506" t="s">
        <v>19</v>
      </c>
      <c r="J23" s="507"/>
      <c r="K23" s="339"/>
      <c r="L23" s="347"/>
      <c r="M23" s="533"/>
      <c r="N23" s="347"/>
      <c r="O23" s="341"/>
      <c r="P23" s="341"/>
    </row>
    <row r="24" spans="1:16" s="475" customFormat="1" ht="64" customHeight="1" x14ac:dyDescent="0.3">
      <c r="A24" s="469"/>
      <c r="B24" s="470"/>
      <c r="C24" s="753" t="str">
        <f>IF(VLOOKUP(CONCATENATE($C$2,"-",$C23,"-0"),Languages!$A:$D,1,TRUE)=CONCATENATE($C$2,"-",$C23,"-0"),VLOOKUP(CONCATENATE($C$2,"-",$C23,"-0"),Languages!$A:$D,Kybermittari!$C$7,TRUE),NA())</f>
        <v>Rekisteri toiminnan osa-alueen toimintavarmuuden kannalta tärkeistä tietovarannoista on tärkeä osa kyberriskienhallintaa. Tärkeiden tietojen (kuten tallennus- ja käsittelypaikkojen, tiedon omistajuuden, salaus- ja eheysvaatimusten, tietovuot, vaatimustenmukaisuuden ja ohjelmistojen versionumerojen) rekisteröinti on edellytys monille muille kyberturvallisuuden hallintatoimille.</v>
      </c>
      <c r="D24" s="753"/>
      <c r="E24" s="753"/>
      <c r="F24" s="753"/>
      <c r="G24" s="753"/>
      <c r="H24" s="753"/>
      <c r="I24" s="753"/>
      <c r="J24" s="753"/>
      <c r="K24" s="471"/>
      <c r="L24" s="524"/>
      <c r="M24" s="545"/>
      <c r="N24" s="524"/>
      <c r="O24" s="473"/>
      <c r="P24" s="473"/>
    </row>
    <row r="25" spans="1:16" s="486" customFormat="1" ht="20" customHeight="1" x14ac:dyDescent="0.3">
      <c r="A25" s="523"/>
      <c r="B25" s="476"/>
      <c r="C25" s="477" t="str">
        <f>IF(VLOOKUP("GEN-LEVEL",Languages!$A:$D,1,TRUE)="GEN-LEVEL",VLOOKUP("GEN-LEVEL",Languages!$A:$D,Kybermittari!$C$7,TRUE),NA())</f>
        <v>Taso</v>
      </c>
      <c r="D25" s="477"/>
      <c r="E25" s="478" t="str">
        <f>IF(VLOOKUP("GEN-PRACTICE",Languages!$A:$D,1,TRUE)="GEN-PRACTICE",VLOOKUP("GEN-PRACTICE",Languages!$A:$D,Kybermittari!$C$7,TRUE),NA())</f>
        <v>Käytäntö</v>
      </c>
      <c r="F25" s="479"/>
      <c r="G25" s="480"/>
      <c r="H25" s="481"/>
      <c r="I25" s="478" t="str">
        <f>IF(VLOOKUP("GEN-ANSWER",Languages!$A:$D,1,TRUE)="GEN-ANSWER",VLOOKUP("GEN-ANSWER",Languages!$A:$D,Kybermittari!$C$7,TRUE),NA())</f>
        <v>Vastaus</v>
      </c>
      <c r="J25" s="480" t="str">
        <f>IF(VLOOKUP("GEN-COMMENT",Languages!$A:$D,1,TRUE)="GEN-COMMENT",VLOOKUP("GEN-COMMENT",Languages!$A:$D,Kybermittari!$C$7,TRUE),NA())</f>
        <v>Kommentti ja viittaukset</v>
      </c>
      <c r="K25" s="482"/>
      <c r="L25" s="524"/>
      <c r="M25" s="545"/>
      <c r="N25" s="524"/>
      <c r="O25" s="484"/>
      <c r="P25" s="484"/>
    </row>
    <row r="26" spans="1:16" s="486" customFormat="1" ht="10" customHeight="1" x14ac:dyDescent="0.3">
      <c r="A26" s="523"/>
      <c r="B26" s="476"/>
      <c r="C26" s="487"/>
      <c r="D26" s="487"/>
      <c r="E26" s="488"/>
      <c r="F26" s="489"/>
      <c r="G26" s="490"/>
      <c r="H26" s="491"/>
      <c r="I26" s="488"/>
      <c r="J26" s="490"/>
      <c r="K26" s="482"/>
      <c r="L26" s="524"/>
      <c r="M26" s="545"/>
      <c r="N26" s="524"/>
      <c r="O26" s="484"/>
      <c r="P26" s="484"/>
    </row>
    <row r="27" spans="1:16" s="510" customFormat="1" ht="80" customHeight="1" x14ac:dyDescent="0.3">
      <c r="A27" s="524"/>
      <c r="B27" s="749"/>
      <c r="C27" s="720">
        <v>1</v>
      </c>
      <c r="D27" s="508" t="s">
        <v>20</v>
      </c>
      <c r="E27" s="750" t="str">
        <f>IF(VLOOKUP(CONCATENATE($C$2,"-",$D27),Languages!$A:$D,1,TRUE)=CONCATENATE($C$2,"-",$D27),VLOOKUP(CONCATENATE($C$2,"-",$D27),Languages!$A:$D,Kybermittari!$C$7,TRUE),NA())</f>
        <v>Organisaatiolla on rekisteri (toiminnan osa-alueen toimintavarmuuden kannalta) tärkeistä tietovarannoista - vaikka rekisterin ylläpito ei välttämättä ole systemaattista tai kaikenkattavaa. (Tärkeät tietovarannot voivat sisältää esimerkiksi asiakastietoja, taloudellisia tietoja, tuotannonohjausjärjestelmän tietoja, laitteiden konfiguraatiotietoja tai lokitietoja).</v>
      </c>
      <c r="F27" s="750"/>
      <c r="G27" s="750"/>
      <c r="H27" s="493">
        <f>IFERROR(INT(LEFT($I27,1)),0)</f>
        <v>0</v>
      </c>
      <c r="I27" s="54"/>
      <c r="J27" s="526"/>
      <c r="K27" s="509"/>
      <c r="L27" s="524"/>
      <c r="M27" s="545"/>
      <c r="N27" s="524"/>
      <c r="O27" s="495"/>
      <c r="P27" s="495"/>
    </row>
    <row r="28" spans="1:16" s="510" customFormat="1" ht="10" customHeight="1" x14ac:dyDescent="0.3">
      <c r="A28" s="524"/>
      <c r="B28" s="749"/>
      <c r="C28" s="565"/>
      <c r="D28" s="513"/>
      <c r="E28" s="501"/>
      <c r="F28" s="501"/>
      <c r="G28" s="501"/>
      <c r="H28" s="499"/>
      <c r="I28" s="502"/>
      <c r="J28" s="502"/>
      <c r="K28" s="509"/>
      <c r="L28" s="524"/>
      <c r="M28" s="545"/>
      <c r="N28" s="524"/>
      <c r="O28" s="495"/>
      <c r="P28" s="495"/>
    </row>
    <row r="29" spans="1:16" s="510" customFormat="1" ht="85" customHeight="1" x14ac:dyDescent="0.3">
      <c r="A29" s="524"/>
      <c r="B29" s="749"/>
      <c r="C29" s="765">
        <v>2</v>
      </c>
      <c r="D29" s="508" t="s">
        <v>21</v>
      </c>
      <c r="E29" s="750" t="str">
        <f>IF(VLOOKUP(CONCATENATE($C$2,"-",$D29),Languages!$A:$D,1,TRUE)=CONCATENATE($C$2,"-",$D29),VLOOKUP(CONCATENATE($C$2,"-",$D29),Languages!$A:$D,Kybermittari!$C$7,TRUE),NA())</f>
        <v>Tietovarantojen rekisteriin kirjataan tiedot, joita organisaatio tarvitsee kyberturvallisuuteen liittyvien toimintojen hoitamiseen ja organisaation kyberturvallisuusstrategian tueksi [kts. PROGRAM-1a]. (Tällaisia tietoja ovat esimerkiksi tallennus- ja käsittelypaikat, tiedon omistajuudet, salaus- ja eheysvaatimukset, tietovuot sekä vaatimustenmukaisuus).</v>
      </c>
      <c r="F29" s="750"/>
      <c r="G29" s="750"/>
      <c r="H29" s="493">
        <f>IFERROR(INT(LEFT($I29,1)),0)</f>
        <v>0</v>
      </c>
      <c r="I29" s="54"/>
      <c r="J29" s="527"/>
      <c r="K29" s="509"/>
      <c r="L29" s="524"/>
      <c r="M29" s="545"/>
      <c r="N29" s="524"/>
      <c r="O29" s="495"/>
      <c r="P29" s="495"/>
    </row>
    <row r="30" spans="1:16" s="510" customFormat="1" ht="25.5" customHeight="1" x14ac:dyDescent="0.3">
      <c r="A30" s="524"/>
      <c r="B30" s="749"/>
      <c r="C30" s="767"/>
      <c r="D30" s="508" t="s">
        <v>22</v>
      </c>
      <c r="E30" s="750" t="str">
        <f>IF(VLOOKUP(CONCATENATE($C$2,"-",$D30),Languages!$A:$D,1,TRUE)=CONCATENATE($C$2,"-",$D30),VLOOKUP(CONCATENATE($C$2,"-",$D30),Languages!$A:$D,Kybermittari!$C$7,TRUE),NA())</f>
        <v>Organisaatio kategorisoi rekisteröidyt tietovarannot määrittämällään tavalla.</v>
      </c>
      <c r="F30" s="750"/>
      <c r="G30" s="750"/>
      <c r="H30" s="493">
        <f>IFERROR(INT(LEFT($I30,1)),0)</f>
        <v>0</v>
      </c>
      <c r="I30" s="54"/>
      <c r="J30" s="527"/>
      <c r="K30" s="509"/>
      <c r="L30" s="524"/>
      <c r="M30" s="545"/>
      <c r="N30" s="524"/>
      <c r="O30" s="495"/>
      <c r="P30" s="495"/>
    </row>
    <row r="31" spans="1:16" s="510" customFormat="1" ht="10" customHeight="1" x14ac:dyDescent="0.3">
      <c r="A31" s="524"/>
      <c r="B31" s="749"/>
      <c r="C31" s="565"/>
      <c r="D31" s="513"/>
      <c r="E31" s="501"/>
      <c r="F31" s="501"/>
      <c r="G31" s="501"/>
      <c r="H31" s="499"/>
      <c r="I31" s="502"/>
      <c r="J31" s="514"/>
      <c r="K31" s="509"/>
      <c r="L31" s="524"/>
      <c r="M31" s="545"/>
      <c r="N31" s="524"/>
      <c r="O31" s="495"/>
      <c r="P31" s="495"/>
    </row>
    <row r="32" spans="1:16" s="510" customFormat="1" ht="35" customHeight="1" x14ac:dyDescent="0.3">
      <c r="A32" s="524"/>
      <c r="B32" s="749"/>
      <c r="C32" s="765">
        <v>3</v>
      </c>
      <c r="D32" s="508" t="s">
        <v>23</v>
      </c>
      <c r="E32" s="750" t="str">
        <f>IF(VLOOKUP(CONCATENATE($C$2,"-",$D32),Languages!$A:$D,1,TRUE)=CONCATENATE($C$2,"-",$D32),VLOOKUP(CONCATENATE($C$2,"-",$D32),Languages!$A:$D,Kybermittari!$C$7,TRUE),NA())</f>
        <v>Organisaatiolla on omaisuusrekisteri kaikista toiminnan osa-alueen toimintavarmuuden kannalta tärkeistä tietovarannoista.</v>
      </c>
      <c r="F32" s="750"/>
      <c r="G32" s="750"/>
      <c r="H32" s="493">
        <f>IFERROR(INT(LEFT($I32,1)),0)</f>
        <v>0</v>
      </c>
      <c r="I32" s="54"/>
      <c r="J32" s="527"/>
      <c r="K32" s="509"/>
      <c r="L32" s="618"/>
      <c r="M32" s="545"/>
      <c r="N32" s="618"/>
      <c r="O32" s="495"/>
      <c r="P32" s="495"/>
    </row>
    <row r="33" spans="1:16" s="510" customFormat="1" ht="35" customHeight="1" x14ac:dyDescent="0.3">
      <c r="A33" s="524"/>
      <c r="B33" s="749"/>
      <c r="C33" s="766"/>
      <c r="D33" s="508" t="s">
        <v>24</v>
      </c>
      <c r="E33" s="750" t="str">
        <f>IF(VLOOKUP(CONCATENATE($C$2,"-",$D33),Languages!$A:$D,1,TRUE)=CONCATENATE($C$2,"-",$D33),VLOOKUP(CONCATENATE($C$2,"-",$D33),Languages!$A:$D,Kybermittari!$C$7,TRUE),NA())</f>
        <v>Omaisuusrekisteri on ajan tasalla (organisaation määrittämien kriteerin mukaisesti).</v>
      </c>
      <c r="F33" s="750"/>
      <c r="G33" s="750"/>
      <c r="H33" s="493">
        <f>IFERROR(INT(LEFT($I33,1)),0)</f>
        <v>0</v>
      </c>
      <c r="I33" s="54"/>
      <c r="J33" s="527"/>
      <c r="K33" s="509"/>
      <c r="L33" s="524"/>
      <c r="M33" s="545"/>
      <c r="N33" s="524"/>
      <c r="O33" s="495"/>
      <c r="P33" s="495"/>
    </row>
    <row r="34" spans="1:16" s="510" customFormat="1" ht="35" customHeight="1" x14ac:dyDescent="0.3">
      <c r="A34" s="524"/>
      <c r="B34" s="749"/>
      <c r="C34" s="767"/>
      <c r="D34" s="508" t="s">
        <v>112</v>
      </c>
      <c r="E34" s="750" t="str">
        <f>IF(VLOOKUP(CONCATENATE($C$2,"-",$D34),Languages!$A:$D,1,TRUE)=CONCATENATE($C$2,"-",$D34),VLOOKUP(CONCATENATE($C$2,"-",$D34),Languages!$A:$D,Kybermittari!$C$7,TRUE),NA())</f>
        <v>Omaisuusrekisteriä hyödynnetään kyberriskien tunnistamisessa (esim. tietojen paljastumisen, tuhoutumisen tai luvattomien muutosten riski).</v>
      </c>
      <c r="F34" s="750"/>
      <c r="G34" s="750"/>
      <c r="H34" s="493">
        <f>IFERROR(INT(LEFT($I34,1)),0)</f>
        <v>0</v>
      </c>
      <c r="I34" s="54"/>
      <c r="J34" s="527"/>
      <c r="K34" s="509"/>
      <c r="L34" s="483"/>
      <c r="M34" s="545"/>
      <c r="N34" s="523"/>
      <c r="O34" s="495"/>
      <c r="P34" s="495"/>
    </row>
    <row r="35" spans="1:16" s="343" customFormat="1" ht="30" customHeight="1" x14ac:dyDescent="0.25">
      <c r="A35" s="332"/>
      <c r="B35" s="461"/>
      <c r="C35" s="336">
        <v>3</v>
      </c>
      <c r="D35" s="336" t="str">
        <f>IF(VLOOKUP(CONCATENATE($C$2,"-",C35),Languages!$A:$D,1,TRUE)=CONCATENATE($C$2,"-",C35),VLOOKUP(CONCATENATE($C$2,"-",C35),Languages!$A:$D,Kybermittari!$C$7,TRUE),NA())</f>
        <v>Suojattavan omaisuuden konfiguraation hallinta</v>
      </c>
      <c r="E35" s="336"/>
      <c r="F35" s="506"/>
      <c r="G35" s="506"/>
      <c r="H35" s="507"/>
      <c r="I35" s="506" t="s">
        <v>19</v>
      </c>
      <c r="J35" s="507"/>
      <c r="K35" s="339"/>
      <c r="L35" s="332"/>
      <c r="M35" s="533"/>
      <c r="N35" s="636"/>
      <c r="O35" s="341"/>
      <c r="P35" s="341"/>
    </row>
    <row r="36" spans="1:16" s="475" customFormat="1" ht="60" customHeight="1" x14ac:dyDescent="0.3">
      <c r="A36" s="469"/>
      <c r="B36" s="470"/>
      <c r="C36" s="753" t="str">
        <f>IF(VLOOKUP(CONCATENATE($C$2,"-",$C35,"-0"),Languages!$A:$D,1,TRUE)=CONCATENATE($C$2,"-",$C35,"-0"),VLOOKUP(CONCATENATE($C$2,"-",$C35,"-0"),Languages!$A:$D,Kybermittari!$C$7,TRUE),NA())</f>
        <v>Konfiguraation hallinta pitää sisällään suojattavien kohteiden (kuten suojattavan tieto-, IT- ja OT-omaisuuden) vakioitujen perusasetusten määrittämisen ja tarkistukset siitä, että konfiguraatiot ovat näiden perusasetusten mukaiset. Yleisimmin tällä varmistetaan se, että kaikki samanlaiset suojattavat kohteet on konfiguroitu samalla tavalla. Niissä tapauksissa, joissa suojattavat kohteet eroavat merkittävästi toisistaan tai yksilöllisiä asetuksia joudutaan käyttämään, konfiguraatioiden hallinnan avulla on tarkoitus varmistaa, että kyseisen suojattavan kohteen konfiguraation perusasetukset on määritetty ja suojattavan kohteen asetukset säilyvät perusasetusten mukaisina.</v>
      </c>
      <c r="D36" s="753"/>
      <c r="E36" s="753"/>
      <c r="F36" s="753"/>
      <c r="G36" s="753"/>
      <c r="H36" s="753"/>
      <c r="I36" s="753"/>
      <c r="J36" s="753"/>
      <c r="K36" s="471"/>
      <c r="L36" s="483"/>
      <c r="M36" s="545"/>
      <c r="N36" s="523"/>
      <c r="O36" s="473"/>
      <c r="P36" s="473"/>
    </row>
    <row r="37" spans="1:16" s="486" customFormat="1" ht="20" customHeight="1" x14ac:dyDescent="0.3">
      <c r="A37" s="523"/>
      <c r="B37" s="476"/>
      <c r="C37" s="477" t="str">
        <f>IF(VLOOKUP("GEN-LEVEL",Languages!$A:$D,1,TRUE)="GEN-LEVEL",VLOOKUP("GEN-LEVEL",Languages!$A:$D,Kybermittari!$C$7,TRUE),NA())</f>
        <v>Taso</v>
      </c>
      <c r="D37" s="477"/>
      <c r="E37" s="478" t="str">
        <f>IF(VLOOKUP("GEN-PRACTICE",Languages!$A:$D,1,TRUE)="GEN-PRACTICE",VLOOKUP("GEN-PRACTICE",Languages!$A:$D,Kybermittari!$C$7,TRUE),NA())</f>
        <v>Käytäntö</v>
      </c>
      <c r="F37" s="479"/>
      <c r="G37" s="480"/>
      <c r="H37" s="481"/>
      <c r="I37" s="478" t="str">
        <f>IF(VLOOKUP("GEN-ANSWER",Languages!$A:$D,1,TRUE)="GEN-ANSWER",VLOOKUP("GEN-ANSWER",Languages!$A:$D,Kybermittari!$C$7,TRUE),NA())</f>
        <v>Vastaus</v>
      </c>
      <c r="J37" s="480" t="str">
        <f>IF(VLOOKUP("GEN-COMMENT",Languages!$A:$D,1,TRUE)="GEN-COMMENT",VLOOKUP("GEN-COMMENT",Languages!$A:$D,Kybermittari!$C$7,TRUE),NA())</f>
        <v>Kommentti ja viittaukset</v>
      </c>
      <c r="K37" s="482"/>
      <c r="L37" s="483"/>
      <c r="M37" s="545"/>
      <c r="N37" s="523"/>
      <c r="O37" s="484"/>
      <c r="P37" s="484"/>
    </row>
    <row r="38" spans="1:16" s="486" customFormat="1" ht="10" customHeight="1" x14ac:dyDescent="0.3">
      <c r="A38" s="523"/>
      <c r="B38" s="476"/>
      <c r="C38" s="487"/>
      <c r="D38" s="487"/>
      <c r="E38" s="488"/>
      <c r="F38" s="489"/>
      <c r="G38" s="490"/>
      <c r="H38" s="491"/>
      <c r="I38" s="488"/>
      <c r="J38" s="490"/>
      <c r="K38" s="482"/>
      <c r="L38" s="483"/>
      <c r="M38" s="545"/>
      <c r="N38" s="523"/>
      <c r="O38" s="484"/>
      <c r="P38" s="484"/>
    </row>
    <row r="39" spans="1:16" s="510" customFormat="1" ht="60" customHeight="1" x14ac:dyDescent="0.3">
      <c r="A39" s="524"/>
      <c r="B39" s="749"/>
      <c r="C39" s="765">
        <v>1</v>
      </c>
      <c r="D39" s="508" t="s">
        <v>25</v>
      </c>
      <c r="E39" s="750" t="str">
        <f>IF(VLOOKUP(CONCATENATE($C$2,"-",$D39),Languages!$A:$D,1,TRUE)=CONCATENATE($C$2,"-",$D39),VLOOKUP(CONCATENATE($C$2,"-",$D39),Languages!$A:$D,Kybermittari!$C$7,TRUE),NA())</f>
        <v>Rekisteröityjen suojattavien kohteiden konfiguraatiolle määritetään vakioidut perusasetukset, silloin kun on tarpeellista varmistaa, että samankaltaiset kohteet on konfiguroitu samalla tavalla - vaikka ei välttämättä systemaattisesti ja kaiken kattavasti.</v>
      </c>
      <c r="F39" s="750"/>
      <c r="G39" s="750"/>
      <c r="H39" s="493">
        <f>IFERROR(INT(LEFT($I39,1)),0)</f>
        <v>0</v>
      </c>
      <c r="I39" s="54"/>
      <c r="J39" s="526"/>
      <c r="K39" s="509"/>
      <c r="L39" s="524"/>
      <c r="M39" s="545"/>
      <c r="N39" s="524"/>
      <c r="O39" s="495"/>
      <c r="P39" s="495"/>
    </row>
    <row r="40" spans="1:16" s="510" customFormat="1" ht="35" customHeight="1" x14ac:dyDescent="0.3">
      <c r="A40" s="524"/>
      <c r="B40" s="749"/>
      <c r="C40" s="767"/>
      <c r="D40" s="508" t="s">
        <v>26</v>
      </c>
      <c r="E40" s="750" t="str">
        <f>IF(VLOOKUP(CONCATENATE($C$2,"-",$D40),Languages!$A:$D,1,TRUE)=CONCATENATE($C$2,"-",$D40),VLOOKUP(CONCATENATE($C$2,"-",$D40),Languages!$A:$D,Kybermittari!$C$7,TRUE),NA())</f>
        <v>Vakioituja perusasetuksia käytetään suojattavien kohteiden käyttöönotossa ja käyttöön palautuksessa - ainakin tapauskohtaisesti.</v>
      </c>
      <c r="F40" s="750"/>
      <c r="G40" s="750"/>
      <c r="H40" s="493">
        <f>IFERROR(INT(LEFT($I40,1)),0)</f>
        <v>0</v>
      </c>
      <c r="I40" s="54"/>
      <c r="J40" s="527"/>
      <c r="K40" s="509"/>
      <c r="L40" s="524"/>
      <c r="M40" s="545"/>
      <c r="N40" s="524"/>
      <c r="O40" s="495"/>
      <c r="P40" s="495"/>
    </row>
    <row r="41" spans="1:16" s="510" customFormat="1" ht="10" customHeight="1" x14ac:dyDescent="0.3">
      <c r="A41" s="524"/>
      <c r="B41" s="719"/>
      <c r="C41" s="565"/>
      <c r="D41" s="513"/>
      <c r="E41" s="501"/>
      <c r="F41" s="501"/>
      <c r="G41" s="501"/>
      <c r="H41" s="499"/>
      <c r="I41" s="502"/>
      <c r="J41" s="514"/>
      <c r="K41" s="509"/>
      <c r="L41" s="524"/>
      <c r="M41" s="545"/>
      <c r="N41" s="524"/>
      <c r="O41" s="495"/>
      <c r="P41" s="495"/>
    </row>
    <row r="42" spans="1:16" s="510" customFormat="1" ht="35" customHeight="1" x14ac:dyDescent="0.3">
      <c r="A42" s="524"/>
      <c r="B42" s="749"/>
      <c r="C42" s="720">
        <v>2</v>
      </c>
      <c r="D42" s="508" t="s">
        <v>27</v>
      </c>
      <c r="E42" s="750" t="str">
        <f>IF(VLOOKUP(CONCATENATE($C$2,"-",$D42),Languages!$A:$D,1,TRUE)=CONCATENATE($C$2,"-",$D42),VLOOKUP(CONCATENATE($C$2,"-",$D42),Languages!$A:$D,Kybermittari!$C$7,TRUE),NA())</f>
        <v>Vakioitujen perusasetuksien suunnittelussa huomioidaan organisaation kyberturvallisuustavoitteet [kts. PROGRAM-1b].</v>
      </c>
      <c r="F42" s="750"/>
      <c r="G42" s="750"/>
      <c r="H42" s="493">
        <f>IFERROR(INT(LEFT($I42,1)),0)</f>
        <v>0</v>
      </c>
      <c r="I42" s="54"/>
      <c r="J42" s="527"/>
      <c r="K42" s="509"/>
      <c r="L42" s="524"/>
      <c r="M42" s="545"/>
      <c r="N42" s="524"/>
      <c r="O42" s="495"/>
      <c r="P42" s="495"/>
    </row>
    <row r="43" spans="1:16" s="510" customFormat="1" ht="10" customHeight="1" x14ac:dyDescent="0.3">
      <c r="A43" s="524"/>
      <c r="B43" s="749"/>
      <c r="C43" s="565"/>
      <c r="D43" s="513"/>
      <c r="E43" s="501"/>
      <c r="F43" s="501"/>
      <c r="G43" s="501"/>
      <c r="H43" s="499"/>
      <c r="I43" s="502"/>
      <c r="J43" s="514"/>
      <c r="K43" s="509"/>
      <c r="L43" s="524"/>
      <c r="M43" s="545"/>
      <c r="N43" s="524"/>
      <c r="O43" s="495"/>
      <c r="P43" s="495"/>
    </row>
    <row r="44" spans="1:16" s="510" customFormat="1" ht="44" customHeight="1" x14ac:dyDescent="0.3">
      <c r="A44" s="524"/>
      <c r="B44" s="749"/>
      <c r="C44" s="768">
        <v>3</v>
      </c>
      <c r="D44" s="508" t="s">
        <v>28</v>
      </c>
      <c r="E44" s="750" t="str">
        <f>IF(VLOOKUP(CONCATENATE($C$2,"-",$D44),Languages!$A:$D,1,TRUE)=CONCATENATE($C$2,"-",$D44),VLOOKUP(CONCATENATE($C$2,"-",$D44),Languages!$A:$D,Kybermittari!$C$7,TRUE),NA())</f>
        <v>Suojattavien kohteiden konfiguraation yhdenmukaisuutta vakioitujen perusasetusten kanssa monitoroidaan kohteen koko käyttöiän ajan.</v>
      </c>
      <c r="F44" s="750"/>
      <c r="G44" s="750"/>
      <c r="H44" s="493">
        <f>IFERROR(INT(LEFT($I44,1)),0)</f>
        <v>0</v>
      </c>
      <c r="I44" s="54"/>
      <c r="J44" s="527"/>
      <c r="K44" s="509"/>
      <c r="L44" s="524"/>
      <c r="M44" s="545"/>
      <c r="N44" s="524"/>
      <c r="O44" s="495"/>
      <c r="P44" s="495"/>
    </row>
    <row r="45" spans="1:16" s="510" customFormat="1" ht="35" customHeight="1" x14ac:dyDescent="0.3">
      <c r="A45" s="524"/>
      <c r="B45" s="749"/>
      <c r="C45" s="768"/>
      <c r="D45" s="508" t="s">
        <v>29</v>
      </c>
      <c r="E45" s="750" t="str">
        <f>IF(VLOOKUP(CONCATENATE($C$2,"-",$D45),Languages!$A:$D,1,TRUE)=CONCATENATE($C$2,"-",$D45),VLOOKUP(CONCATENATE($C$2,"-",$D45),Languages!$A:$D,Kybermittari!$C$7,TRUE),NA())</f>
        <v>Vakioidut perusasetukset katselmoidaan ja päivitetään organisaation määrittelemin aikavälein.</v>
      </c>
      <c r="F45" s="750"/>
      <c r="G45" s="750"/>
      <c r="H45" s="493">
        <f>IFERROR(INT(LEFT($I45,1)),0)</f>
        <v>0</v>
      </c>
      <c r="I45" s="54"/>
      <c r="J45" s="527"/>
      <c r="K45" s="509"/>
      <c r="L45" s="524"/>
      <c r="M45" s="545"/>
      <c r="N45" s="524"/>
      <c r="O45" s="495"/>
      <c r="P45" s="495"/>
    </row>
    <row r="46" spans="1:16" s="510" customFormat="1" ht="44.5" customHeight="1" x14ac:dyDescent="0.3">
      <c r="A46" s="524"/>
      <c r="B46" s="749"/>
      <c r="C46" s="768"/>
      <c r="D46" s="508" t="s">
        <v>30</v>
      </c>
      <c r="E46" s="750" t="str">
        <f>IF(VLOOKUP(CONCATENATE($C$2,"-",$D46),Languages!$A:$D,1,TRUE)=CONCATENATE($C$2,"-",$D46),VLOOKUP(CONCATENATE($C$2,"-",$D46),Languages!$A:$D,Kybermittari!$C$7,TRUE),NA())</f>
        <v>Vakioidut perusasetukset huomioivat turvallisuusvyöhykkeistä [kts. ARCHITECTURE-2b] johdetut vaatimukset (esim. verkkolaitteiden konfiguraatiot on räätälöity vyöhykkeen liikennerajoitusten mukaisesti).</v>
      </c>
      <c r="F46" s="750"/>
      <c r="G46" s="750"/>
      <c r="H46" s="493">
        <f>IFERROR(INT(LEFT($I46,1)),0)</f>
        <v>0</v>
      </c>
      <c r="I46" s="54"/>
      <c r="J46" s="527"/>
      <c r="K46" s="509"/>
      <c r="L46" s="524"/>
      <c r="M46" s="545"/>
      <c r="N46" s="524"/>
      <c r="O46" s="495"/>
      <c r="P46" s="495"/>
    </row>
    <row r="47" spans="1:16" s="343" customFormat="1" ht="30" customHeight="1" x14ac:dyDescent="0.25">
      <c r="A47" s="332"/>
      <c r="B47" s="461"/>
      <c r="C47" s="336">
        <v>4</v>
      </c>
      <c r="D47" s="336" t="str">
        <f>IF(VLOOKUP(CONCATENATE($C$2,"-",C47),Languages!$A:$D,1,TRUE)=CONCATENATE($C$2,"-",C47),VLOOKUP(CONCATENATE($C$2,"-",C47),Languages!$A:$D,Kybermittari!$C$7,TRUE),NA())</f>
        <v>Suojattavien kohteiden muutoksenhallinta</v>
      </c>
      <c r="E47" s="336"/>
      <c r="F47" s="506"/>
      <c r="G47" s="506"/>
      <c r="H47" s="507"/>
      <c r="I47" s="506" t="s">
        <v>19</v>
      </c>
      <c r="J47" s="507"/>
      <c r="K47" s="339"/>
      <c r="L47" s="340"/>
      <c r="M47" s="533"/>
      <c r="N47" s="340"/>
      <c r="O47" s="341"/>
      <c r="P47" s="341"/>
    </row>
    <row r="48" spans="1:16" s="475" customFormat="1" ht="50.5" customHeight="1" x14ac:dyDescent="0.3">
      <c r="A48" s="469"/>
      <c r="B48" s="470"/>
      <c r="C48" s="753" t="str">
        <f>IF(VLOOKUP(CONCATENATE($C$2,"-",$C47,"-0"),Languages!$A:$D,1,TRUE)=CONCATENATE($C$2,"-",$C47,"-0"),VLOOKUP(CONCATENATE($C$2,"-",$C47,"-0"),Languages!$A:$D,Kybermittari!$C$7,TRUE),NA())</f>
        <v>Suojattavien kohteiden (kuten suojattavan tieto-, IT- ja OT-omaisuuden) muutostenhallinta sisältää muutospyyntöjen arvioinnin niin, että hyväksymättömiä muutoksia ei pääse tuotantoympäristöön, prosessin joka varmistaa kaikkien muutosten noudattavan muutoshallintaprosessia sekä luvattomien muutosten tunnistamisen. Muutostenhallinta koskettaa suojattavien kohteiden koko elinkaarta, mukaan lukien määrittely, testaus, käyttöönotto ja huolto sekä käytöstä poistaminen.</v>
      </c>
      <c r="D48" s="753"/>
      <c r="E48" s="753"/>
      <c r="F48" s="753"/>
      <c r="G48" s="753"/>
      <c r="H48" s="753"/>
      <c r="I48" s="753"/>
      <c r="J48" s="753"/>
      <c r="K48" s="471"/>
      <c r="L48" s="524"/>
      <c r="M48" s="545"/>
      <c r="N48" s="524"/>
      <c r="O48" s="473"/>
      <c r="P48" s="473"/>
    </row>
    <row r="49" spans="1:16" s="486" customFormat="1" ht="20" customHeight="1" x14ac:dyDescent="0.3">
      <c r="A49" s="523"/>
      <c r="B49" s="476"/>
      <c r="C49" s="477" t="str">
        <f>IF(VLOOKUP("GEN-LEVEL",Languages!$A:$D,1,TRUE)="GEN-LEVEL",VLOOKUP("GEN-LEVEL",Languages!$A:$D,Kybermittari!$C$7,TRUE),NA())</f>
        <v>Taso</v>
      </c>
      <c r="D49" s="477"/>
      <c r="E49" s="478" t="str">
        <f>IF(VLOOKUP("GEN-PRACTICE",Languages!$A:$D,1,TRUE)="GEN-PRACTICE",VLOOKUP("GEN-PRACTICE",Languages!$A:$D,Kybermittari!$C$7,TRUE),NA())</f>
        <v>Käytäntö</v>
      </c>
      <c r="F49" s="479"/>
      <c r="G49" s="480"/>
      <c r="H49" s="481"/>
      <c r="I49" s="478" t="str">
        <f>IF(VLOOKUP("GEN-ANSWER",Languages!$A:$D,1,TRUE)="GEN-ANSWER",VLOOKUP("GEN-ANSWER",Languages!$A:$D,Kybermittari!$C$7,TRUE),NA())</f>
        <v>Vastaus</v>
      </c>
      <c r="J49" s="480" t="str">
        <f>IF(VLOOKUP("GEN-COMMENT",Languages!$A:$D,1,TRUE)="GEN-COMMENT",VLOOKUP("GEN-COMMENT",Languages!$A:$D,Kybermittari!$C$7,TRUE),NA())</f>
        <v>Kommentti ja viittaukset</v>
      </c>
      <c r="K49" s="482"/>
      <c r="L49" s="483"/>
      <c r="M49" s="545"/>
      <c r="N49" s="523"/>
      <c r="O49" s="484"/>
      <c r="P49" s="484"/>
    </row>
    <row r="50" spans="1:16" s="486" customFormat="1" ht="10" customHeight="1" x14ac:dyDescent="0.3">
      <c r="A50" s="523"/>
      <c r="B50" s="476"/>
      <c r="C50" s="487"/>
      <c r="D50" s="487"/>
      <c r="E50" s="488"/>
      <c r="F50" s="489"/>
      <c r="G50" s="490"/>
      <c r="H50" s="491"/>
      <c r="I50" s="488"/>
      <c r="J50" s="490"/>
      <c r="K50" s="482"/>
      <c r="L50" s="483"/>
      <c r="M50" s="545"/>
      <c r="N50" s="523"/>
      <c r="O50" s="484"/>
      <c r="P50" s="484"/>
    </row>
    <row r="51" spans="1:16" s="510" customFormat="1" ht="35" customHeight="1" x14ac:dyDescent="0.3">
      <c r="A51" s="524"/>
      <c r="B51" s="749"/>
      <c r="C51" s="765">
        <v>1</v>
      </c>
      <c r="D51" s="508" t="s">
        <v>126</v>
      </c>
      <c r="E51" s="750" t="str">
        <f>IF(VLOOKUP(CONCATENATE($C$2,"-",$D51),Languages!$A:$D,1,TRUE)=CONCATENATE($C$2,"-",$D51),VLOOKUP(CONCATENATE($C$2,"-",$D51),Languages!$A:$D,Kybermittari!$C$7,TRUE),NA())</f>
        <v>Rekisteröityihin suojattaviin kohteisiin tehtävät muutokset katselmoidaan ennen toteutusta - ainakin tapauskohtaisesti.</v>
      </c>
      <c r="F51" s="750"/>
      <c r="G51" s="750"/>
      <c r="H51" s="493">
        <f>IFERROR(INT(LEFT($I51,1)),0)</f>
        <v>0</v>
      </c>
      <c r="I51" s="54"/>
      <c r="J51" s="526"/>
      <c r="K51" s="509"/>
      <c r="L51" s="483"/>
      <c r="M51" s="545"/>
      <c r="N51" s="523"/>
      <c r="O51" s="495"/>
      <c r="P51" s="495"/>
    </row>
    <row r="52" spans="1:16" s="510" customFormat="1" ht="35" customHeight="1" x14ac:dyDescent="0.3">
      <c r="A52" s="524"/>
      <c r="B52" s="749"/>
      <c r="C52" s="767"/>
      <c r="D52" s="508" t="s">
        <v>129</v>
      </c>
      <c r="E52" s="750" t="str">
        <f>IF(VLOOKUP(CONCATENATE($C$2,"-",$D52),Languages!$A:$D,1,TRUE)=CONCATENATE($C$2,"-",$D52),VLOOKUP(CONCATENATE($C$2,"-",$D52),Languages!$A:$D,Kybermittari!$C$7,TRUE),NA())</f>
        <v>Rekisteröityihin suojattaviin kohteisiin tehtävät muutokset kirjataan lokiin - ainakin tapauskohtaisesti.</v>
      </c>
      <c r="F52" s="750"/>
      <c r="G52" s="750"/>
      <c r="H52" s="493">
        <f>IFERROR(INT(LEFT($I52,1)),0)</f>
        <v>0</v>
      </c>
      <c r="I52" s="54"/>
      <c r="J52" s="527"/>
      <c r="K52" s="509"/>
      <c r="L52" s="483"/>
      <c r="M52" s="545"/>
      <c r="N52" s="523"/>
      <c r="O52" s="495"/>
      <c r="P52" s="495"/>
    </row>
    <row r="53" spans="1:16" s="510" customFormat="1" ht="10" customHeight="1" x14ac:dyDescent="0.3">
      <c r="A53" s="524"/>
      <c r="B53" s="719"/>
      <c r="C53" s="565"/>
      <c r="D53" s="513"/>
      <c r="E53" s="501"/>
      <c r="F53" s="501"/>
      <c r="G53" s="501"/>
      <c r="H53" s="499"/>
      <c r="I53" s="502"/>
      <c r="J53" s="514"/>
      <c r="K53" s="509"/>
      <c r="L53" s="483"/>
      <c r="M53" s="545"/>
      <c r="N53" s="523"/>
      <c r="O53" s="495"/>
      <c r="P53" s="495"/>
    </row>
    <row r="54" spans="1:16" s="510" customFormat="1" ht="35" customHeight="1" x14ac:dyDescent="0.3">
      <c r="A54" s="524"/>
      <c r="B54" s="749"/>
      <c r="C54" s="768">
        <v>2</v>
      </c>
      <c r="D54" s="508" t="s">
        <v>132</v>
      </c>
      <c r="E54" s="750" t="str">
        <f>IF(VLOOKUP(CONCATENATE($C$2,"-",$D54),Languages!$A:$D,1,TRUE)=CONCATENATE($C$2,"-",$D54),VLOOKUP(CONCATENATE($C$2,"-",$D54),Languages!$A:$D,Kybermittari!$C$7,TRUE),NA())</f>
        <v>Rekisteröityihin suojattaviin kohteisiin tehtävät muutokset testataan ennen toteutusta aina kun mahdollista.</v>
      </c>
      <c r="F54" s="750"/>
      <c r="G54" s="750"/>
      <c r="H54" s="493">
        <f>IFERROR(INT(LEFT($I54,1)),0)</f>
        <v>0</v>
      </c>
      <c r="I54" s="54"/>
      <c r="J54" s="527"/>
      <c r="K54" s="509"/>
      <c r="L54" s="483"/>
      <c r="M54" s="545"/>
      <c r="N54" s="523"/>
      <c r="O54" s="495"/>
      <c r="P54" s="495"/>
    </row>
    <row r="55" spans="1:16" s="510" customFormat="1" ht="35" customHeight="1" x14ac:dyDescent="0.3">
      <c r="A55" s="524"/>
      <c r="B55" s="749"/>
      <c r="C55" s="768"/>
      <c r="D55" s="508" t="s">
        <v>135</v>
      </c>
      <c r="E55" s="750" t="str">
        <f>IF(VLOOKUP(CONCATENATE($C$2,"-",$D55),Languages!$A:$D,1,TRUE)=CONCATENATE($C$2,"-",$D55),VLOOKUP(CONCATENATE($C$2,"-",$D55),Languages!$A:$D,Kybermittari!$C$7,TRUE),NA())</f>
        <v>Muutostenhallintakäytännöt kattavat suojattavien kohteiden koko elinkaaren (hankinta, käyttöönotto, käyttö, käytöstä poisto).</v>
      </c>
      <c r="F55" s="750"/>
      <c r="G55" s="750"/>
      <c r="H55" s="493">
        <f>IFERROR(INT(LEFT($I55,1)),0)</f>
        <v>0</v>
      </c>
      <c r="I55" s="54"/>
      <c r="J55" s="527"/>
      <c r="K55" s="509"/>
      <c r="L55" s="524"/>
      <c r="M55" s="545"/>
      <c r="N55" s="524"/>
      <c r="O55" s="495"/>
      <c r="P55" s="495"/>
    </row>
    <row r="56" spans="1:16" s="510" customFormat="1" ht="10" customHeight="1" x14ac:dyDescent="0.3">
      <c r="A56" s="524"/>
      <c r="B56" s="749"/>
      <c r="C56" s="565"/>
      <c r="D56" s="513"/>
      <c r="E56" s="501"/>
      <c r="F56" s="501"/>
      <c r="G56" s="501"/>
      <c r="H56" s="499"/>
      <c r="I56" s="502"/>
      <c r="J56" s="514"/>
      <c r="K56" s="509"/>
      <c r="L56" s="524"/>
      <c r="M56" s="545"/>
      <c r="N56" s="524"/>
      <c r="O56" s="495"/>
      <c r="P56" s="495"/>
    </row>
    <row r="57" spans="1:16" s="510" customFormat="1" ht="35" customHeight="1" x14ac:dyDescent="0.3">
      <c r="A57" s="524"/>
      <c r="B57" s="749"/>
      <c r="C57" s="765">
        <v>3</v>
      </c>
      <c r="D57" s="508" t="s">
        <v>138</v>
      </c>
      <c r="E57" s="750" t="str">
        <f>IF(VLOOKUP(CONCATENATE($C$2,"-",$D57),Languages!$A:$D,1,TRUE)=CONCATENATE($C$2,"-",$D57),VLOOKUP(CONCATENATE($C$2,"-",$D57),Languages!$A:$D,Kybermittari!$C$7,TRUE),NA())</f>
        <v>Rekisteröityihin suojattaviin kohteisiin tehtävien muutosten vaikutukset kyberturvallisuuteen testataan ennen toteutusta.</v>
      </c>
      <c r="F57" s="750"/>
      <c r="G57" s="750"/>
      <c r="H57" s="493">
        <f>IFERROR(INT(LEFT($I57,1)),0)</f>
        <v>0</v>
      </c>
      <c r="I57" s="54"/>
      <c r="J57" s="527"/>
      <c r="K57" s="509"/>
      <c r="L57" s="524"/>
      <c r="M57" s="545"/>
      <c r="N57" s="524"/>
      <c r="O57" s="495"/>
      <c r="P57" s="495"/>
    </row>
    <row r="58" spans="1:16" s="510" customFormat="1" ht="47" customHeight="1" x14ac:dyDescent="0.3">
      <c r="A58" s="524"/>
      <c r="B58" s="749"/>
      <c r="C58" s="767"/>
      <c r="D58" s="508" t="s">
        <v>140</v>
      </c>
      <c r="E58" s="750" t="str">
        <f>IF(VLOOKUP(CONCATENATE($C$2,"-",$D58),Languages!$A:$D,1,TRUE)=CONCATENATE($C$2,"-",$D58),VLOOKUP(CONCATENATE($C$2,"-",$D58),Languages!$A:$D,Kybermittari!$C$7,TRUE),NA())</f>
        <v>Muutostenhallinnan lokitiedot sisältävät muutokset, jotka vaikuttavat suojattavien kohteiden kyberturvallisuusvaatimuksiin (saatavuus, eheys, luottamuksellisuus).</v>
      </c>
      <c r="F58" s="750"/>
      <c r="G58" s="750"/>
      <c r="H58" s="493">
        <f>IFERROR(INT(LEFT($I58,1)),0)</f>
        <v>0</v>
      </c>
      <c r="I58" s="54"/>
      <c r="J58" s="527"/>
      <c r="K58" s="509"/>
      <c r="L58" s="524"/>
      <c r="M58" s="545"/>
      <c r="N58" s="524"/>
      <c r="O58" s="495"/>
      <c r="P58" s="495"/>
    </row>
    <row r="59" spans="1:16" s="343" customFormat="1" ht="30" customHeight="1" x14ac:dyDescent="0.25">
      <c r="A59" s="332"/>
      <c r="B59" s="461"/>
      <c r="C59" s="336">
        <v>5</v>
      </c>
      <c r="D59" s="336" t="str">
        <f>IF(VLOOKUP(CONCATENATE($C$2,"-",C59),Languages!$A:$D,1,TRUE)=CONCATENATE($C$2,"-",C59),VLOOKUP(CONCATENATE($C$2,"-",C59),Languages!$A:$D,Kybermittari!$C$7,TRUE),NA())</f>
        <v>Yleisiä hallintatoimia</v>
      </c>
      <c r="E59" s="336"/>
      <c r="F59" s="506"/>
      <c r="G59" s="506"/>
      <c r="H59" s="506"/>
      <c r="I59" s="506" t="s">
        <v>19</v>
      </c>
      <c r="J59" s="507"/>
      <c r="K59" s="339"/>
      <c r="L59" s="347"/>
      <c r="M59" s="533"/>
      <c r="N59" s="347"/>
      <c r="O59" s="341"/>
      <c r="P59" s="341"/>
    </row>
    <row r="60" spans="1:16" s="475" customFormat="1" ht="50" customHeight="1" x14ac:dyDescent="0.3">
      <c r="A60" s="524"/>
      <c r="B60" s="525"/>
      <c r="C60" s="753" t="str">
        <f>IF(VLOOKUP(CONCATENATE($C$2,"-",$C59,"-0"),Languages!$A:$D,1,TRUE)=CONCATENATE($C$2,"-",$C59,"-0"),VLOOKUP(CONCATENATE($C$2,"-",$C59,"-0"),Languages!$A:$D,Kybermittari!$C$7,TRUE),NA())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60" s="753"/>
      <c r="E60" s="753"/>
      <c r="F60" s="753"/>
      <c r="G60" s="753"/>
      <c r="H60" s="753"/>
      <c r="I60" s="753"/>
      <c r="J60" s="753"/>
      <c r="K60" s="471"/>
      <c r="L60" s="524"/>
      <c r="M60" s="545"/>
      <c r="N60" s="524"/>
      <c r="O60" s="473"/>
      <c r="P60" s="473"/>
    </row>
    <row r="61" spans="1:16" s="486" customFormat="1" ht="20" customHeight="1" x14ac:dyDescent="0.3">
      <c r="A61" s="523"/>
      <c r="B61" s="476"/>
      <c r="C61" s="477" t="str">
        <f>IF(VLOOKUP("GEN-LEVEL",Languages!$A:$D,1,TRUE)="GEN-LEVEL",VLOOKUP("GEN-LEVEL",Languages!$A:$D,Kybermittari!$C$7,TRUE),NA())</f>
        <v>Taso</v>
      </c>
      <c r="D61" s="477"/>
      <c r="E61" s="478" t="str">
        <f>IF(VLOOKUP("GEN-PRACTICE",Languages!$A:$D,1,TRUE)="GEN-PRACTICE",VLOOKUP("GEN-PRACTICE",Languages!$A:$D,Kybermittari!$C$7,TRUE),NA())</f>
        <v>Käytäntö</v>
      </c>
      <c r="F61" s="479"/>
      <c r="G61" s="480"/>
      <c r="H61" s="481"/>
      <c r="I61" s="478" t="str">
        <f>IF(VLOOKUP("GEN-ANSWER",Languages!$A:$D,1,TRUE)="GEN-ANSWER",VLOOKUP("GEN-ANSWER",Languages!$A:$D,Kybermittari!$C$7,TRUE),NA())</f>
        <v>Vastaus</v>
      </c>
      <c r="J61" s="480" t="str">
        <f>IF(VLOOKUP("GEN-COMMENT",Languages!$A:$D,1,TRUE)="GEN-COMMENT",VLOOKUP("GEN-COMMENT",Languages!$A:$D,Kybermittari!$C$7,TRUE),NA())</f>
        <v>Kommentti ja viittaukset</v>
      </c>
      <c r="K61" s="482"/>
      <c r="L61" s="524"/>
      <c r="M61" s="545"/>
      <c r="N61" s="524"/>
      <c r="O61" s="484"/>
      <c r="P61" s="484"/>
    </row>
    <row r="62" spans="1:16" s="486" customFormat="1" ht="10" customHeight="1" x14ac:dyDescent="0.3">
      <c r="A62" s="523"/>
      <c r="B62" s="476"/>
      <c r="C62" s="487"/>
      <c r="D62" s="487"/>
      <c r="E62" s="488"/>
      <c r="F62" s="489"/>
      <c r="G62" s="490"/>
      <c r="H62" s="491"/>
      <c r="I62" s="488"/>
      <c r="J62" s="490"/>
      <c r="K62" s="482"/>
      <c r="L62" s="524"/>
      <c r="M62" s="545"/>
      <c r="N62" s="524"/>
      <c r="O62" s="484"/>
      <c r="P62" s="484"/>
    </row>
    <row r="63" spans="1:16" s="486" customFormat="1" ht="20" customHeight="1" x14ac:dyDescent="0.3">
      <c r="A63" s="523"/>
      <c r="B63" s="476"/>
      <c r="C63" s="720">
        <v>1</v>
      </c>
      <c r="D63" s="558"/>
      <c r="E63" s="722"/>
      <c r="F63" s="560"/>
      <c r="G63" s="561"/>
      <c r="H63" s="562"/>
      <c r="I63" s="722"/>
      <c r="J63" s="563"/>
      <c r="K63" s="482"/>
      <c r="L63" s="524"/>
      <c r="M63" s="545"/>
      <c r="N63" s="524"/>
      <c r="O63" s="484"/>
      <c r="P63" s="484"/>
    </row>
    <row r="64" spans="1:16" s="486" customFormat="1" ht="10" customHeight="1" x14ac:dyDescent="0.3">
      <c r="A64" s="523"/>
      <c r="B64" s="476"/>
      <c r="C64" s="487"/>
      <c r="D64" s="487"/>
      <c r="E64" s="488"/>
      <c r="F64" s="489"/>
      <c r="G64" s="490"/>
      <c r="H64" s="491"/>
      <c r="I64" s="488"/>
      <c r="J64" s="490"/>
      <c r="K64" s="482"/>
      <c r="L64" s="524"/>
      <c r="M64" s="545"/>
      <c r="N64" s="524"/>
      <c r="O64" s="484"/>
      <c r="P64" s="484"/>
    </row>
    <row r="65" spans="1:16" s="510" customFormat="1" ht="35" customHeight="1" x14ac:dyDescent="0.3">
      <c r="A65" s="524"/>
      <c r="B65" s="749"/>
      <c r="C65" s="765">
        <v>2</v>
      </c>
      <c r="D65" s="508" t="s">
        <v>143</v>
      </c>
      <c r="E65" s="750" t="str">
        <f>IF(VLOOKUP(CONCATENATE($C$2,"-",$D65),Languages!$A:$D,1,TRUE)=CONCATENATE($C$2,"-",$D65),VLOOKUP(CONCATENATE($C$2,"-",$D65),Languages!$A:$D,Kybermittari!$C$7,TRUE),NA())</f>
        <v>Omaisuuden, muutoksen ja konfiguraation hallinnan (ASSET) osioon liittyen on määritetty dokumentoidut käytännöt, joita noudatetaan ja pidetään yllä.</v>
      </c>
      <c r="F65" s="750"/>
      <c r="G65" s="750"/>
      <c r="H65" s="493">
        <f>IFERROR(INT(LEFT($I65,1)),0)</f>
        <v>0</v>
      </c>
      <c r="I65" s="54"/>
      <c r="J65" s="527"/>
      <c r="K65" s="509"/>
      <c r="L65" s="524"/>
      <c r="M65" s="545"/>
      <c r="N65" s="524"/>
      <c r="O65" s="495"/>
      <c r="P65" s="495"/>
    </row>
    <row r="66" spans="1:16" s="510" customFormat="1" ht="35" customHeight="1" x14ac:dyDescent="0.3">
      <c r="A66" s="524"/>
      <c r="B66" s="749"/>
      <c r="C66" s="766"/>
      <c r="D66" s="508" t="s">
        <v>146</v>
      </c>
      <c r="E66" s="750" t="str">
        <f>IF(VLOOKUP(CONCATENATE($C$2,"-",$D66),Languages!$A:$D,1,TRUE)=CONCATENATE($C$2,"-",$D66),VLOOKUP(CONCATENATE($C$2,"-",$D66),Languages!$A:$D,Kybermittari!$C$7,TRUE),NA())</f>
        <v>Omaisuuden, muutoksen ja konfiguraation hallinnan (ASSET) osion toimintaan on saatavilla riittävät resurssit (henkilöstö, rahoitus ja työkalut).</v>
      </c>
      <c r="F66" s="750"/>
      <c r="G66" s="750"/>
      <c r="H66" s="493">
        <f>IFERROR(INT(LEFT($I66,1)),0)</f>
        <v>0</v>
      </c>
      <c r="I66" s="54"/>
      <c r="J66" s="527"/>
      <c r="K66" s="509"/>
      <c r="L66" s="524"/>
      <c r="M66" s="545"/>
      <c r="N66" s="524"/>
      <c r="O66" s="495"/>
      <c r="P66" s="495"/>
    </row>
    <row r="67" spans="1:16" s="510" customFormat="1" ht="47" customHeight="1" x14ac:dyDescent="0.3">
      <c r="A67" s="524"/>
      <c r="B67" s="749"/>
      <c r="C67" s="766"/>
      <c r="D67" s="508" t="s">
        <v>149</v>
      </c>
      <c r="E67" s="750" t="str">
        <f>IF(VLOOKUP(CONCATENATE($C$2,"-",$D67),Languages!$A:$D,1,TRUE)=CONCATENATE($C$2,"-",$D67),VLOOKUP(CONCATENATE($C$2,"-",$D67),Languages!$A:$D,Kybermittari!$C$7,TRUE),NA())</f>
        <v>Omaisuuden, muutoksen ja konfiguraation hallinnan (ASSET) osion toimintaa suorittavilla työntekijöillä on riittävät tiedot ja taidot tehtäviensä suorittamiseen.</v>
      </c>
      <c r="F67" s="750"/>
      <c r="G67" s="750"/>
      <c r="H67" s="493">
        <f>IFERROR(INT(LEFT($I67,1)),0)</f>
        <v>0</v>
      </c>
      <c r="I67" s="54"/>
      <c r="J67" s="527"/>
      <c r="K67" s="509"/>
      <c r="L67" s="524"/>
      <c r="M67" s="545"/>
      <c r="N67" s="524"/>
      <c r="O67" s="495"/>
      <c r="P67" s="495"/>
    </row>
    <row r="68" spans="1:16" s="510" customFormat="1" ht="47" customHeight="1" x14ac:dyDescent="0.25">
      <c r="A68" s="524"/>
      <c r="B68" s="749"/>
      <c r="C68" s="767"/>
      <c r="D68" s="508" t="s">
        <v>152</v>
      </c>
      <c r="E68" s="750" t="str">
        <f>IF(VLOOKUP(CONCATENATE($C$2,"-",$D68),Languages!$A:$D,1,TRUE)=CONCATENATE($C$2,"-",$D68),VLOOKUP(CONCATENATE($C$2,"-",$D68),Languages!$A:$D,Kybermittari!$C$7,TRUE),NA())</f>
        <v>Omaisuuden, muutoksen ja konfiguraation hallinnan (ASSET) osion toiminnan suorittamiseen liittyvät vastuut ja valtuudet on osoitettu nimetyille työntekijöille.</v>
      </c>
      <c r="F68" s="750"/>
      <c r="G68" s="750"/>
      <c r="H68" s="493">
        <f>IFERROR(INT(LEFT($I68,1)),0)</f>
        <v>0</v>
      </c>
      <c r="I68" s="54"/>
      <c r="J68" s="527"/>
      <c r="K68" s="509"/>
      <c r="L68" s="524"/>
      <c r="M68" s="637"/>
      <c r="N68" s="524"/>
      <c r="O68" s="495"/>
      <c r="P68" s="495"/>
    </row>
    <row r="69" spans="1:16" s="510" customFormat="1" ht="10" customHeight="1" x14ac:dyDescent="0.25">
      <c r="A69" s="524"/>
      <c r="B69" s="719"/>
      <c r="C69" s="565"/>
      <c r="D69" s="513"/>
      <c r="E69" s="501"/>
      <c r="F69" s="501"/>
      <c r="G69" s="501"/>
      <c r="H69" s="499"/>
      <c r="I69" s="502"/>
      <c r="J69" s="514"/>
      <c r="K69" s="509"/>
      <c r="L69" s="524"/>
      <c r="M69" s="637"/>
      <c r="N69" s="524"/>
      <c r="O69" s="495"/>
      <c r="P69" s="495"/>
    </row>
    <row r="70" spans="1:16" s="510" customFormat="1" ht="60" customHeight="1" x14ac:dyDescent="0.25">
      <c r="A70" s="524"/>
      <c r="B70" s="749"/>
      <c r="C70" s="765">
        <v>3</v>
      </c>
      <c r="D70" s="508" t="s">
        <v>154</v>
      </c>
      <c r="E70" s="750" t="str">
        <f>IF(VLOOKUP(CONCATENATE($C$2,"-",$D70),Languages!$A:$D,1,TRUE)=CONCATENATE($C$2,"-",$D70),VLOOKUP(CONCATENATE($C$2,"-",$D70),Languages!$A:$D,Kybermittari!$C$7,TRUE),NA())</f>
        <v>Omaisuuden, muutoksen ja konfiguraation hallinnan (ASSET) osion toiminta perustuu organisaation määrittämään ja ylläpitämään johtotason politiikkaan (tai vastaavaan ohjeistukseen), jossa asetetaan nimenomaisia vaatimuksia tämän osion toiminnalle.</v>
      </c>
      <c r="F70" s="750"/>
      <c r="G70" s="750"/>
      <c r="H70" s="493">
        <f>IFERROR(INT(LEFT($I70,1)),0)</f>
        <v>0</v>
      </c>
      <c r="I70" s="54"/>
      <c r="J70" s="527"/>
      <c r="K70" s="509"/>
      <c r="L70" s="524"/>
      <c r="M70" s="637"/>
      <c r="N70" s="524"/>
      <c r="O70" s="495"/>
      <c r="P70" s="495"/>
    </row>
    <row r="71" spans="1:16" s="510" customFormat="1" ht="47" customHeight="1" x14ac:dyDescent="0.25">
      <c r="A71" s="524"/>
      <c r="B71" s="749"/>
      <c r="C71" s="766"/>
      <c r="D71" s="508" t="s">
        <v>156</v>
      </c>
      <c r="E71" s="750" t="str">
        <f>IF(VLOOKUP(CONCATENATE($C$2,"-",$D71),Languages!$A:$D,1,TRUE)=CONCATENATE($C$2,"-",$D71),VLOOKUP(CONCATENATE($C$2,"-",$D71),Languages!$A:$D,Kybermittari!$C$7,TRUE),NA())</f>
        <v>Omaisuuden, muutoksen ja konfiguraation hallinnan (ASSET) osion toiminnalle on määritetty suoriutumistavoitteet, joiden toteutumista seurataan [kts. PROGRAM-1b].</v>
      </c>
      <c r="F71" s="750"/>
      <c r="G71" s="750"/>
      <c r="H71" s="493">
        <f>IFERROR(INT(LEFT($I71,1)),0)</f>
        <v>0</v>
      </c>
      <c r="I71" s="54"/>
      <c r="J71" s="527"/>
      <c r="K71" s="509"/>
      <c r="L71" s="524"/>
      <c r="M71" s="637"/>
      <c r="N71" s="524"/>
      <c r="O71" s="495"/>
      <c r="P71" s="495"/>
    </row>
    <row r="72" spans="1:16" s="510" customFormat="1" ht="47" customHeight="1" x14ac:dyDescent="0.25">
      <c r="A72" s="524"/>
      <c r="B72" s="749"/>
      <c r="C72" s="767"/>
      <c r="D72" s="508" t="s">
        <v>159</v>
      </c>
      <c r="E72" s="750" t="str">
        <f>IF(VLOOKUP(CONCATENATE($C$2,"-",$D72),Languages!$A:$D,1,TRUE)=CONCATENATE($C$2,"-",$D72),VLOOKUP(CONCATENATE($C$2,"-",$D72),Languages!$A:$D,Kybermittari!$C$7,TRUE),NA())</f>
        <v>Omaisuuden, muutoksen ja konfiguraation hallinnan (ASSET) osioon liittyvät käytännöt on standardoitu läpi koko organisaation ja niitä kehitetään aktiivisesti.</v>
      </c>
      <c r="F72" s="750"/>
      <c r="G72" s="750"/>
      <c r="H72" s="493">
        <f>IFERROR(INT(LEFT($I72,1)),0)</f>
        <v>0</v>
      </c>
      <c r="I72" s="54"/>
      <c r="J72" s="527"/>
      <c r="K72" s="509"/>
      <c r="L72" s="524"/>
      <c r="M72" s="637"/>
      <c r="N72" s="524"/>
      <c r="O72" s="495"/>
      <c r="P72" s="495"/>
    </row>
    <row r="73" spans="1:16" x14ac:dyDescent="0.25">
      <c r="A73" s="347"/>
      <c r="B73" s="619"/>
      <c r="C73" s="620"/>
      <c r="D73" s="621"/>
      <c r="E73" s="622"/>
      <c r="F73" s="622"/>
      <c r="G73" s="622"/>
      <c r="H73" s="623"/>
      <c r="I73" s="624"/>
      <c r="J73" s="625"/>
      <c r="K73" s="626"/>
      <c r="L73" s="347"/>
      <c r="M73" s="638"/>
      <c r="N73" s="347"/>
    </row>
    <row r="74" spans="1:16" x14ac:dyDescent="0.25">
      <c r="A74" s="347"/>
      <c r="B74" s="347"/>
      <c r="C74" s="347"/>
      <c r="D74" s="347"/>
      <c r="E74" s="347"/>
      <c r="F74" s="347"/>
      <c r="G74" s="347"/>
      <c r="H74" s="627"/>
      <c r="I74" s="347"/>
      <c r="J74" s="347"/>
      <c r="K74" s="347"/>
      <c r="L74" s="347"/>
      <c r="M74" s="638"/>
      <c r="N74" s="347"/>
    </row>
  </sheetData>
  <sheetProtection sheet="1" objects="1" scenarios="1"/>
  <mergeCells count="58">
    <mergeCell ref="C48:J48"/>
    <mergeCell ref="E51:G51"/>
    <mergeCell ref="E52:G52"/>
    <mergeCell ref="C5:J5"/>
    <mergeCell ref="C39:C40"/>
    <mergeCell ref="C51:C52"/>
    <mergeCell ref="C24:J24"/>
    <mergeCell ref="C36:J36"/>
    <mergeCell ref="C12:J12"/>
    <mergeCell ref="B70:B72"/>
    <mergeCell ref="C70:C72"/>
    <mergeCell ref="E70:G70"/>
    <mergeCell ref="E71:G71"/>
    <mergeCell ref="E72:G72"/>
    <mergeCell ref="B39:B40"/>
    <mergeCell ref="E39:G39"/>
    <mergeCell ref="E40:G40"/>
    <mergeCell ref="B42:B46"/>
    <mergeCell ref="E42:G42"/>
    <mergeCell ref="C44:C46"/>
    <mergeCell ref="E44:G44"/>
    <mergeCell ref="E45:G45"/>
    <mergeCell ref="E46:G46"/>
    <mergeCell ref="B51:B52"/>
    <mergeCell ref="C60:J60"/>
    <mergeCell ref="B65:B68"/>
    <mergeCell ref="C65:C68"/>
    <mergeCell ref="E65:G65"/>
    <mergeCell ref="E66:G66"/>
    <mergeCell ref="E67:G67"/>
    <mergeCell ref="E68:G68"/>
    <mergeCell ref="B54:B58"/>
    <mergeCell ref="E54:G54"/>
    <mergeCell ref="E55:G55"/>
    <mergeCell ref="E57:G57"/>
    <mergeCell ref="E58:G58"/>
    <mergeCell ref="C57:C58"/>
    <mergeCell ref="C54:C55"/>
    <mergeCell ref="B27:B29"/>
    <mergeCell ref="E27:G27"/>
    <mergeCell ref="E29:G29"/>
    <mergeCell ref="B30:B34"/>
    <mergeCell ref="E30:G30"/>
    <mergeCell ref="E32:G32"/>
    <mergeCell ref="E34:G34"/>
    <mergeCell ref="C29:C30"/>
    <mergeCell ref="C32:C34"/>
    <mergeCell ref="E33:G33"/>
    <mergeCell ref="B18:B22"/>
    <mergeCell ref="E18:G18"/>
    <mergeCell ref="E20:G20"/>
    <mergeCell ref="E21:G21"/>
    <mergeCell ref="E22:G22"/>
    <mergeCell ref="C17:C18"/>
    <mergeCell ref="C20:C22"/>
    <mergeCell ref="B15:B17"/>
    <mergeCell ref="E15:G15"/>
    <mergeCell ref="E17:G17"/>
  </mergeCells>
  <conditionalFormatting sqref="H1:H1048576">
    <cfRule type="containsText" dxfId="62" priority="5"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79FD6B73-7264-4789-BE5C-31E7DF7E0E3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I15 I17:I18 I20:I22 I27 I29:I30 I32:I34 I39:I40 I42 I44:I46 I51:I52 I54:I55 I57:I58 I65:I68 I70:I72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0.79998168889431442"/>
  </sheetPr>
  <dimension ref="A1:P63"/>
  <sheetViews>
    <sheetView showGridLines="0" zoomScaleNormal="100" workbookViewId="0">
      <selection activeCell="I13" sqref="I13"/>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64</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Identiteetin- ja pääsynhallinta</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45" customHeight="1" x14ac:dyDescent="0.25">
      <c r="A5" s="344"/>
      <c r="B5" s="532"/>
      <c r="C5" s="758" t="str">
        <f>IF(VLOOKUP(CONCATENATE(C2,"-0"),Languages!$A:$D,1,TRUE)=CONCATENATE(C2,"-0"),VLOOKUP(CONCATENATE(C2,"-0"),Languages!$A:$D,Kybermittari!$C$7,TRUE),NA())</f>
        <v>Identiteetin ja pääsynhallinnan osiossa arvioidaan organisaation kykyä hallita ja rajoittaa pääsyä suojattaviin kohteisiin. Organisaation tulee luoda ja ylläpitää identiteettejä toimijoille, joille halutaan myöntää pääsy fyysisesti tai verkon yli organisaation suojattaviin kohteisiin. Organisaation tulee hallita käyttöoikeuksia suojattaviin kohteisiin suhteessa sekä niihin kohdistuviin riskeihin, että organisaation asettamiin tavoitteisiin.</v>
      </c>
      <c r="D5" s="758"/>
      <c r="E5" s="758"/>
      <c r="F5" s="758"/>
      <c r="G5" s="758"/>
      <c r="H5" s="758"/>
      <c r="I5" s="758"/>
      <c r="J5" s="758"/>
      <c r="K5" s="356"/>
      <c r="L5" s="344"/>
      <c r="M5" s="533"/>
      <c r="N5" s="344"/>
    </row>
    <row r="6" spans="1:16" ht="14.5" x14ac:dyDescent="0.25">
      <c r="A6" s="344"/>
      <c r="B6" s="532"/>
      <c r="C6" s="456">
        <v>1</v>
      </c>
      <c r="D6" s="457" t="s">
        <v>2</v>
      </c>
      <c r="E6" s="458" t="str">
        <f>IF(VLOOKUP(CONCATENATE($C$2,"-",C6),Languages!$A:$D,1,TRUE)=CONCATENATE($C$2,"-",C6),VLOOKUP(CONCATENATE($C$2,"-",C6),Languages!$A:$D,Kybermittari!$C$7,TRUE),NA())</f>
        <v>Identiteettien hallinta</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Käyttöoikeuksien hallinta</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Yleisiä hallintatoimia</v>
      </c>
      <c r="F8" s="607"/>
      <c r="G8" s="386"/>
      <c r="H8" s="610"/>
      <c r="I8" s="459" t="str">
        <f ca="1">VLOOKUP(VLOOKUP(CONCATENATE($C$2,"-",$C8),Data!$K:$O,5,FALSE),Parameters!$C$7:$F$10,Kybermittari!$C$7,FALSE)</f>
        <v>Kypsyystaso 1</v>
      </c>
      <c r="J8" s="611"/>
      <c r="K8" s="356"/>
      <c r="L8" s="344"/>
      <c r="M8" s="533"/>
      <c r="N8" s="344"/>
    </row>
    <row r="9" spans="1:16" s="343" customFormat="1" ht="30" customHeight="1" x14ac:dyDescent="0.25">
      <c r="A9" s="332"/>
      <c r="B9" s="461"/>
      <c r="C9" s="336">
        <v>1</v>
      </c>
      <c r="D9" s="336" t="str">
        <f>IF(VLOOKUP(CONCATENATE($C$2,"-",C9),Languages!$A:$D,1,TRUE)=CONCATENATE($C$2,"-",C9),VLOOKUP(CONCATENATE($C$2,"-",C9),Languages!$A:$D,Kybermittari!$C$7,TRUE),NA())</f>
        <v>Identiteettien hallinta</v>
      </c>
      <c r="E9" s="336"/>
      <c r="F9" s="463"/>
      <c r="G9" s="463"/>
      <c r="H9" s="464"/>
      <c r="I9" s="464"/>
      <c r="J9" s="465"/>
      <c r="K9" s="466"/>
      <c r="L9" s="344"/>
      <c r="M9" s="533"/>
      <c r="N9" s="344"/>
      <c r="O9" s="341"/>
      <c r="P9" s="341"/>
    </row>
    <row r="10" spans="1:16" s="475" customFormat="1" ht="58" customHeight="1" x14ac:dyDescent="0.3">
      <c r="A10" s="469"/>
      <c r="B10" s="470"/>
      <c r="C10" s="753" t="str">
        <f>IF(VLOOKUP(CONCATENATE($C$2,"-",$C9,"-0"),Languages!$A:$D,1,TRUE)=CONCATENATE($C$2,"-",$C9,"-0"),VLOOKUP(CONCATENATE($C$2,"-",$C9,"-0"),Languages!$A:$D,Kybermittari!$C$7,TRUE),NA())</f>
        <v>Identiteetinhallinta lähtee siitä, että toimijoille luodaan identiteetit, jotka poistetaan käytöstä, kun niitä ei enää tarvita. Toimijoita voivat olla henkilöt (organisaation omat työntekijät tai organisaation ulkopuoliset henkilöt) yhtä hyvin kuin laitteet, järjestelmät tai prosessit, joilla on tarve saada pääsy suojattaviin kohteisiin.  Identiteettien ylläpitoon kuuluu identiteettien jäljitettävyys (ts. identiteettien oikeellisuuden ja ajantasaisuuden varmistaminen) sekä niiden poistaminen käytöstä. Jaettujen identiteettien käyttö voi vaatia lisätoimia riittävän turvallisuustason takaamiseksi.</v>
      </c>
      <c r="D10" s="753"/>
      <c r="E10" s="753"/>
      <c r="F10" s="753"/>
      <c r="G10" s="753"/>
      <c r="H10" s="753"/>
      <c r="I10" s="753"/>
      <c r="J10" s="753"/>
      <c r="K10" s="471"/>
      <c r="L10" s="612"/>
      <c r="M10" s="545"/>
      <c r="N10" s="483"/>
      <c r="O10" s="473"/>
      <c r="P10" s="473"/>
    </row>
    <row r="11" spans="1:16" s="547" customFormat="1" ht="20" customHeight="1" x14ac:dyDescent="0.3">
      <c r="A11" s="483"/>
      <c r="B11" s="476"/>
      <c r="C11" s="477" t="str">
        <f>IF(VLOOKUP("GEN-LEVEL",Languages!$A:$D,1,TRUE)="GEN-LEVEL",VLOOKUP("GEN-LEVEL",Languages!$A:$D,Kybermittari!$C$7,TRUE),NA())</f>
        <v>Taso</v>
      </c>
      <c r="D11" s="477"/>
      <c r="E11" s="478" t="str">
        <f>IF(VLOOKUP("GEN-PRACTICE",Languages!$A:$D,1,TRUE)="GEN-PRACTICE",VLOOKUP("GEN-PRACTICE",Languages!$A:$D,Kybermittari!$C$7,TRUE),NA())</f>
        <v>Käytäntö</v>
      </c>
      <c r="F11" s="479"/>
      <c r="G11" s="480"/>
      <c r="H11" s="481"/>
      <c r="I11" s="478" t="str">
        <f>IF(VLOOKUP("GEN-ANSWER",Languages!$A:$D,1,TRUE)="GEN-ANSWER",VLOOKUP("GEN-ANSWER",Languages!$A:$D,Kybermittari!$C$7,TRUE),NA())</f>
        <v>Vastaus</v>
      </c>
      <c r="J11" s="480" t="str">
        <f>IF(VLOOKUP("GEN-COMMENT",Languages!$A:$D,1,TRUE)="GEN-COMMENT",VLOOKUP("GEN-COMMENT",Languages!$A:$D,Kybermittari!$C$7,TRUE),NA())</f>
        <v>Kommentti ja viittaukset</v>
      </c>
      <c r="K11" s="482"/>
      <c r="L11" s="469"/>
      <c r="M11" s="545"/>
      <c r="N11" s="469"/>
      <c r="O11" s="546"/>
      <c r="P11" s="546"/>
    </row>
    <row r="12" spans="1:16" s="547" customFormat="1" ht="10" customHeight="1" x14ac:dyDescent="0.3">
      <c r="A12" s="483"/>
      <c r="B12" s="476"/>
      <c r="C12" s="487"/>
      <c r="D12" s="487"/>
      <c r="E12" s="488"/>
      <c r="F12" s="489"/>
      <c r="G12" s="490"/>
      <c r="H12" s="491"/>
      <c r="I12" s="488"/>
      <c r="J12" s="490"/>
      <c r="K12" s="482"/>
      <c r="L12" s="469"/>
      <c r="M12" s="545"/>
      <c r="N12" s="469"/>
      <c r="O12" s="546"/>
      <c r="P12" s="546"/>
    </row>
    <row r="13" spans="1:16" s="495" customFormat="1" ht="63" customHeight="1" x14ac:dyDescent="0.3">
      <c r="A13" s="469"/>
      <c r="B13" s="757"/>
      <c r="C13" s="769">
        <v>1</v>
      </c>
      <c r="D13" s="492" t="s">
        <v>7</v>
      </c>
      <c r="E13" s="750" t="str">
        <f>IF(VLOOKUP(CONCATENATE($C$2,"-",$D13),Languages!$A:$D,1,TRUE)=CONCATENATE($C$2,"-",$D13),VLOOKUP(CONCATENATE($C$2,"-",$D13),Languages!$A:$D,Kybermittari!$C$7,TRUE),NA())</f>
        <v>Niille henkilöille ja muille toimijoille (kuten laitteille, järjestelmille tai prosesseille), jotka tarvitsevat pääsyn suojattaviin kohteisiin luodaan identiteetit - ainakin tapauskohtaisesti. (Huom. tämä vaatimus ei estä jaettujen identiteettien käyttöä).</v>
      </c>
      <c r="F13" s="750"/>
      <c r="G13" s="750"/>
      <c r="H13" s="493">
        <f t="shared" ref="H13" si="0">IFERROR(INT(LEFT($I13,1)),0)</f>
        <v>0</v>
      </c>
      <c r="I13" s="54"/>
      <c r="J13" s="526"/>
      <c r="K13" s="494"/>
      <c r="L13" s="483"/>
      <c r="M13" s="545"/>
      <c r="N13" s="483"/>
    </row>
    <row r="14" spans="1:16" s="495" customFormat="1" ht="44" customHeight="1" x14ac:dyDescent="0.3">
      <c r="A14" s="469"/>
      <c r="B14" s="757"/>
      <c r="C14" s="769"/>
      <c r="D14" s="492" t="s">
        <v>9</v>
      </c>
      <c r="E14" s="750" t="str">
        <f>IF(VLOOKUP(CONCATENATE($C$2,"-",$D14),Languages!$A:$D,1,TRUE)=CONCATENATE($C$2,"-",$D14),VLOOKUP(CONCATENATE($C$2,"-",$D14),Languages!$A:$D,Kybermittari!$C$7,TRUE),NA())</f>
        <v>Niille henkilöille ja toimijoille, jotka tarvitsevat pääsyn suojattaviin kohteisiin jaetaan pääsyvaltuustiedot (kuten salasanat, sertifikaatit, älykorit, avaimet, tunnusluvut tai vastaavat) - ainakin tapauskohtaisesti.</v>
      </c>
      <c r="F14" s="750"/>
      <c r="G14" s="750"/>
      <c r="H14" s="493">
        <f>IFERROR(INT(LEFT($I14,1)),0)</f>
        <v>0</v>
      </c>
      <c r="I14" s="54"/>
      <c r="J14" s="526"/>
      <c r="K14" s="494"/>
      <c r="L14" s="483"/>
      <c r="M14" s="545"/>
      <c r="N14" s="483"/>
    </row>
    <row r="15" spans="1:16" s="495" customFormat="1" ht="35" customHeight="1" x14ac:dyDescent="0.3">
      <c r="A15" s="469"/>
      <c r="B15" s="757"/>
      <c r="C15" s="769"/>
      <c r="D15" s="492" t="s">
        <v>10</v>
      </c>
      <c r="E15" s="750" t="str">
        <f>IF(VLOOKUP(CONCATENATE($C$2,"-",$D15),Languages!$A:$D,1,TRUE)=CONCATENATE($C$2,"-",$D15),VLOOKUP(CONCATENATE($C$2,"-",$D15),Languages!$A:$D,Kybermittari!$C$7,TRUE),NA())</f>
        <v>Kun identiteettejä ei enää tarvita, ne poistetaan käytöstä ("deprovision") - ainakin tapauskohtaisesti.</v>
      </c>
      <c r="F15" s="750"/>
      <c r="G15" s="750"/>
      <c r="H15" s="493">
        <f>IFERROR(INT(LEFT($I15,1)),0)</f>
        <v>0</v>
      </c>
      <c r="I15" s="54"/>
      <c r="J15" s="526"/>
      <c r="K15" s="494"/>
      <c r="L15" s="469"/>
      <c r="M15" s="545"/>
      <c r="N15" s="469"/>
    </row>
    <row r="16" spans="1:16" s="495" customFormat="1" ht="10" customHeight="1" x14ac:dyDescent="0.3">
      <c r="A16" s="469"/>
      <c r="B16" s="757"/>
      <c r="C16" s="498"/>
      <c r="D16" s="499"/>
      <c r="E16" s="501"/>
      <c r="F16" s="501"/>
      <c r="G16" s="501"/>
      <c r="H16" s="499"/>
      <c r="I16" s="502"/>
      <c r="J16" s="502"/>
      <c r="K16" s="494"/>
      <c r="L16" s="469"/>
      <c r="M16" s="545"/>
      <c r="N16" s="469"/>
    </row>
    <row r="17" spans="1:16" s="495" customFormat="1" ht="46.5" customHeight="1" x14ac:dyDescent="0.3">
      <c r="A17" s="469"/>
      <c r="B17" s="757"/>
      <c r="C17" s="770">
        <v>2</v>
      </c>
      <c r="D17" s="492" t="s">
        <v>11</v>
      </c>
      <c r="E17" s="756" t="str">
        <f>IF(VLOOKUP(CONCATENATE($C$2,"-",$D17),Languages!$A:$D,1,TRUE)=CONCATENATE($C$2,"-",$D17),VLOOKUP(CONCATENATE($C$2,"-",$D17),Languages!$A:$D,Kybermittari!$C$7,TRUE),NA())</f>
        <v>Identiteettirekisterit katselmoidaan ja päivitetään ajantasaiseksi organisaation määrittelemin aikavälein.</v>
      </c>
      <c r="F17" s="756"/>
      <c r="G17" s="756"/>
      <c r="H17" s="493">
        <f>IFERROR(INT(LEFT($I17,1)),0)</f>
        <v>0</v>
      </c>
      <c r="I17" s="54"/>
      <c r="J17" s="526"/>
      <c r="K17" s="494"/>
      <c r="L17" s="469"/>
      <c r="M17" s="545"/>
      <c r="N17" s="469"/>
    </row>
    <row r="18" spans="1:16" s="495" customFormat="1" ht="46.5" customHeight="1" x14ac:dyDescent="0.3">
      <c r="A18" s="469"/>
      <c r="B18" s="757"/>
      <c r="C18" s="771"/>
      <c r="D18" s="503" t="s">
        <v>12</v>
      </c>
      <c r="E18" s="756" t="str">
        <f>IF(VLOOKUP(CONCATENATE($C$2,"-",$D18),Languages!$A:$D,1,TRUE)=CONCATENATE($C$2,"-",$D18),VLOOKUP(CONCATENATE($C$2,"-",$D18),Languages!$A:$D,Kybermittari!$C$7,TRUE),NA())</f>
        <v>Pääsyvaltuustiedot ("credentials") katselmoidaan säännöllisesti ja tarkistetaan, että ne on myönnetty oikeille henkilöille tai muille toimijoille (kuten laitteille, järjestelmille tai prosesseille).</v>
      </c>
      <c r="F18" s="756"/>
      <c r="G18" s="756"/>
      <c r="H18" s="493">
        <f>IFERROR(INT(LEFT($I18,1)),0)</f>
        <v>0</v>
      </c>
      <c r="I18" s="54"/>
      <c r="J18" s="527"/>
      <c r="K18" s="504"/>
      <c r="L18" s="549"/>
      <c r="M18" s="545"/>
      <c r="N18" s="549"/>
    </row>
    <row r="19" spans="1:16" s="495" customFormat="1" ht="35" customHeight="1" x14ac:dyDescent="0.3">
      <c r="A19" s="469"/>
      <c r="B19" s="757"/>
      <c r="C19" s="772"/>
      <c r="D19" s="503" t="s">
        <v>13</v>
      </c>
      <c r="E19" s="756" t="str">
        <f>IF(VLOOKUP(CONCATENATE($C$2,"-",$D19),Languages!$A:$D,1,TRUE)=CONCATENATE($C$2,"-",$D19),VLOOKUP(CONCATENATE($C$2,"-",$D19),Languages!$A:$D,Kybermittari!$C$7,TRUE),NA())</f>
        <v>Kun identiteettejä ei enää tarvita, ne poistetaan käytöstä ("deprovision") vähintään organisaation määrittelemien enimmäismääräaikojen sisällä.</v>
      </c>
      <c r="F19" s="756"/>
      <c r="G19" s="756"/>
      <c r="H19" s="493">
        <f>IFERROR(INT(LEFT($I19,1)),0)</f>
        <v>0</v>
      </c>
      <c r="I19" s="54"/>
      <c r="J19" s="527"/>
      <c r="K19" s="504"/>
      <c r="L19" s="469"/>
      <c r="M19" s="545"/>
      <c r="N19" s="469"/>
    </row>
    <row r="20" spans="1:16" s="495" customFormat="1" ht="10" customHeight="1" x14ac:dyDescent="0.3">
      <c r="A20" s="469"/>
      <c r="B20" s="613"/>
      <c r="C20" s="498"/>
      <c r="D20" s="614"/>
      <c r="E20" s="615"/>
      <c r="F20" s="615"/>
      <c r="G20" s="615"/>
      <c r="H20" s="499"/>
      <c r="I20" s="502"/>
      <c r="J20" s="514"/>
      <c r="K20" s="504"/>
      <c r="L20" s="469"/>
      <c r="M20" s="545"/>
      <c r="N20" s="469"/>
    </row>
    <row r="21" spans="1:16" s="495" customFormat="1" ht="60.5" customHeight="1" x14ac:dyDescent="0.3">
      <c r="A21" s="469"/>
      <c r="B21" s="616"/>
      <c r="C21" s="617">
        <v>3</v>
      </c>
      <c r="D21" s="503" t="s">
        <v>14</v>
      </c>
      <c r="E21" s="756" t="str">
        <f>IF(VLOOKUP(CONCATENATE($C$2,"-",$D21),Languages!$A:$D,1,TRUE)=CONCATENATE($C$2,"-",$D21),VLOOKUP(CONCATENATE($C$2,"-",$D21),Languages!$A:$D,Kybermittari!$C$7,TRUE),NA())</f>
        <v>Pääsyvaltuustiedoille on asetettu riskiperusteiset vaatimukset (esim. vahvasta tunnistautumisesta korkean riskin kohteisiin) [kts. RISK-2b]. Vaatimuksissa on huomioitu myös kyberarkkitehtuurin asettamat vaatimukset (esim. tunnistautumisvaatimukset eri turvavyöhykkeille) [kts. ARCHITECTURE-2b].</v>
      </c>
      <c r="F21" s="756"/>
      <c r="G21" s="756"/>
      <c r="H21" s="493">
        <f>IFERROR(INT(LEFT($I21,1)),0)</f>
        <v>0</v>
      </c>
      <c r="I21" s="54"/>
      <c r="J21" s="527"/>
      <c r="K21" s="504"/>
      <c r="L21" s="469"/>
      <c r="M21" s="545"/>
      <c r="N21" s="469"/>
    </row>
    <row r="22" spans="1:16" s="343" customFormat="1" ht="30" customHeight="1" x14ac:dyDescent="0.25">
      <c r="A22" s="332"/>
      <c r="B22" s="461"/>
      <c r="C22" s="336">
        <v>2</v>
      </c>
      <c r="D22" s="336" t="str">
        <f>IF(VLOOKUP(CONCATENATE($C$2,"-",C22),Languages!$A:$D,1,TRUE)=CONCATENATE($C$2,"-",C22),VLOOKUP(CONCATENATE($C$2,"-",C22),Languages!$A:$D,Kybermittari!$C$7,TRUE),NA())</f>
        <v>Käyttöoikeuksien hallinta</v>
      </c>
      <c r="E22" s="336"/>
      <c r="F22" s="506"/>
      <c r="G22" s="506"/>
      <c r="H22" s="506"/>
      <c r="I22" s="506" t="s">
        <v>19</v>
      </c>
      <c r="J22" s="507"/>
      <c r="K22" s="339"/>
      <c r="L22" s="347"/>
      <c r="M22" s="533"/>
      <c r="N22" s="347"/>
      <c r="O22" s="341"/>
      <c r="P22" s="341"/>
    </row>
    <row r="23" spans="1:16" s="475" customFormat="1" ht="76" customHeight="1" x14ac:dyDescent="0.3">
      <c r="A23" s="469"/>
      <c r="B23" s="470"/>
      <c r="C23" s="753" t="str">
        <f>IF(VLOOKUP(CONCATENATE($C$2,"-",$C22,"-0"),Languages!$A:$D,1,TRUE)=CONCATENATE($C$2,"-",$C22,"-0"),VLOOKUP(CONCATENATE($C$2,"-",$C22,"-0"),Languages!$A:$D,Kybermittari!$C$7,TRUE),NA())</f>
        <v>Käyttöoikeuksien hallinta kattaa käyttöoikeusvaatimusten määrittelyn sekä oikeuksien myöntämisen ja käytöstä poiston asetettujen vaatimusten mukaisesti. Käyttöoikeusvaatimukset yhdistetään suojattaviin kohteisiin ja vaatimukset määräävät mm. minkä tyyppiset toimijat voivat saada pääsyn suojattavaan kohteeseen, missä rajoissa pääsy sallitaan tai onko tunnistetiedoille kuten salasanoille asetettu tiettyjä vaatimuksia. Ulkopuoliselle toimittajalle voidaan sallia pääsy esimerkiksi vain ennalta määrättyjen huoltoikkunoiden aikaan ja käyttäen vahvaa tunnistautumista. Korkeammilla kypsyyden tasoilla vaaditaan tarkempaa käyttöoikeuksien valvontaa. Käyttöoikeudet myönnetään vasta kun on huomioitu toiminnan osa-alueeseen kohdistuvat riskit, minkä lisäksi käyttöoikeudet katselmoidaan säännöllisesti.</v>
      </c>
      <c r="D23" s="753"/>
      <c r="E23" s="753"/>
      <c r="F23" s="753"/>
      <c r="G23" s="753"/>
      <c r="H23" s="753"/>
      <c r="I23" s="753"/>
      <c r="J23" s="753"/>
      <c r="K23" s="471"/>
      <c r="L23" s="524"/>
      <c r="M23" s="545"/>
      <c r="N23" s="524"/>
      <c r="O23" s="473"/>
      <c r="P23" s="473"/>
    </row>
    <row r="24" spans="1:16" s="547" customFormat="1" ht="20" customHeight="1" x14ac:dyDescent="0.3">
      <c r="A24" s="483"/>
      <c r="B24" s="476"/>
      <c r="C24" s="477" t="str">
        <f>IF(VLOOKUP("GEN-LEVEL",Languages!$A:$D,1,TRUE)="GEN-LEVEL",VLOOKUP("GEN-LEVEL",Languages!$A:$D,Kybermittari!$C$7,TRUE),NA())</f>
        <v>Taso</v>
      </c>
      <c r="D24" s="477"/>
      <c r="E24" s="478" t="str">
        <f>IF(VLOOKUP("GEN-PRACTICE",Languages!$A:$D,1,TRUE)="GEN-PRACTICE",VLOOKUP("GEN-PRACTICE",Languages!$A:$D,Kybermittari!$C$7,TRUE),NA())</f>
        <v>Käytäntö</v>
      </c>
      <c r="F24" s="479"/>
      <c r="G24" s="480"/>
      <c r="H24" s="481"/>
      <c r="I24" s="478" t="str">
        <f>IF(VLOOKUP("GEN-ANSWER",Languages!$A:$D,1,TRUE)="GEN-ANSWER",VLOOKUP("GEN-ANSWER",Languages!$A:$D,Kybermittari!$C$7,TRUE),NA())</f>
        <v>Vastaus</v>
      </c>
      <c r="J24" s="480" t="str">
        <f>IF(VLOOKUP("GEN-COMMENT",Languages!$A:$D,1,TRUE)="GEN-COMMENT",VLOOKUP("GEN-COMMENT",Languages!$A:$D,Kybermittari!$C$7,TRUE),NA())</f>
        <v>Kommentti ja viittaukset</v>
      </c>
      <c r="K24" s="482"/>
      <c r="L24" s="524"/>
      <c r="M24" s="545"/>
      <c r="N24" s="524"/>
      <c r="O24" s="546"/>
      <c r="P24" s="546"/>
    </row>
    <row r="25" spans="1:16" s="547" customFormat="1" ht="10" customHeight="1" x14ac:dyDescent="0.3">
      <c r="A25" s="483"/>
      <c r="B25" s="476"/>
      <c r="C25" s="487"/>
      <c r="D25" s="487"/>
      <c r="E25" s="488"/>
      <c r="F25" s="489"/>
      <c r="G25" s="490"/>
      <c r="H25" s="491"/>
      <c r="I25" s="488"/>
      <c r="J25" s="490"/>
      <c r="K25" s="482"/>
      <c r="L25" s="524"/>
      <c r="M25" s="545"/>
      <c r="N25" s="524"/>
      <c r="O25" s="546"/>
      <c r="P25" s="546"/>
    </row>
    <row r="26" spans="1:16" s="510" customFormat="1" ht="76" customHeight="1" x14ac:dyDescent="0.3">
      <c r="A26" s="524"/>
      <c r="B26" s="749"/>
      <c r="C26" s="768">
        <v>1</v>
      </c>
      <c r="D26" s="508" t="s">
        <v>20</v>
      </c>
      <c r="E26" s="750" t="str">
        <f>IF(VLOOKUP(CONCATENATE($C$2,"-",$D26),Languages!$A:$D,1,TRUE)=CONCATENATE($C$2,"-",$D26),VLOOKUP(CONCATENATE($C$2,"-",$D26),Languages!$A:$D,Kybermittari!$C$7,TRUE),NA())</f>
        <v>Organisaatio on asettanut käyttöoikeuksille vaatimuksia tai rajoituksia - ainakin tapauskohtaisesti (esim. siitä minkä tyyppiset toimijat voivat saada pääsyn suojattavaan kohteeseen, missä rajoissa pääsy sallitaan, rajoitetaanko etäyhteyksiä tai onko tunnistetiedoille kuten salasanoille asetettu tiettyjä vaatimuksia).</v>
      </c>
      <c r="F26" s="750"/>
      <c r="G26" s="750"/>
      <c r="H26" s="493">
        <f>IFERROR(INT(LEFT($I26,1)),0)</f>
        <v>0</v>
      </c>
      <c r="I26" s="54"/>
      <c r="J26" s="526"/>
      <c r="K26" s="509"/>
      <c r="L26" s="524"/>
      <c r="M26" s="545"/>
      <c r="N26" s="524"/>
      <c r="O26" s="495"/>
      <c r="P26" s="495"/>
    </row>
    <row r="27" spans="1:16" s="510" customFormat="1" ht="35" customHeight="1" x14ac:dyDescent="0.3">
      <c r="A27" s="524"/>
      <c r="B27" s="749"/>
      <c r="C27" s="768"/>
      <c r="D27" s="508" t="s">
        <v>21</v>
      </c>
      <c r="E27" s="750" t="str">
        <f>IF(VLOOKUP(CONCATENATE($C$2,"-",$D27),Languages!$A:$D,1,TRUE)=CONCATENATE($C$2,"-",$D27),VLOOKUP(CONCATENATE($C$2,"-",$D27),Languages!$A:$D,Kybermittari!$C$7,TRUE),NA())</f>
        <v>Asetettuja vaatimuksia noudatetaan, kun päätetään käyttöoikeuksien myöntämisestä eri identiteeteille - ainakin tapauskohtaisesti.</v>
      </c>
      <c r="F27" s="750"/>
      <c r="G27" s="750"/>
      <c r="H27" s="493">
        <f>IFERROR(INT(LEFT($I27,1)),0)</f>
        <v>0</v>
      </c>
      <c r="I27" s="54"/>
      <c r="J27" s="527"/>
      <c r="K27" s="509"/>
      <c r="L27" s="524"/>
      <c r="M27" s="545"/>
      <c r="N27" s="524"/>
      <c r="O27" s="495"/>
      <c r="P27" s="495"/>
    </row>
    <row r="28" spans="1:16" s="510" customFormat="1" ht="35" customHeight="1" x14ac:dyDescent="0.3">
      <c r="A28" s="524"/>
      <c r="B28" s="749"/>
      <c r="C28" s="768"/>
      <c r="D28" s="508" t="s">
        <v>22</v>
      </c>
      <c r="E28" s="750" t="str">
        <f>IF(VLOOKUP(CONCATENATE($C$2,"-",$D28),Languages!$A:$D,1,TRUE)=CONCATENATE($C$2,"-",$D28),VLOOKUP(CONCATENATE($C$2,"-",$D28),Languages!$A:$D,Kybermittari!$C$7,TRUE),NA())</f>
        <v>Kun käyttöoikeuksia ei enää tarvita, ne poistetaan käytöstä ("revoke") - ainakin tapauskohtaisesti.</v>
      </c>
      <c r="F28" s="750"/>
      <c r="G28" s="750"/>
      <c r="H28" s="493">
        <f>IFERROR(INT(LEFT($I28,1)),0)</f>
        <v>0</v>
      </c>
      <c r="I28" s="54"/>
      <c r="J28" s="527"/>
      <c r="K28" s="509"/>
      <c r="L28" s="524"/>
      <c r="M28" s="545"/>
      <c r="N28" s="524"/>
      <c r="O28" s="495"/>
      <c r="P28" s="495"/>
    </row>
    <row r="29" spans="1:16" s="510" customFormat="1" ht="10" customHeight="1" x14ac:dyDescent="0.3">
      <c r="A29" s="524"/>
      <c r="B29" s="749"/>
      <c r="C29" s="565"/>
      <c r="D29" s="513"/>
      <c r="E29" s="501"/>
      <c r="F29" s="501"/>
      <c r="G29" s="501"/>
      <c r="H29" s="499"/>
      <c r="I29" s="502"/>
      <c r="J29" s="514"/>
      <c r="K29" s="509"/>
      <c r="L29" s="524"/>
      <c r="M29" s="545"/>
      <c r="N29" s="524"/>
      <c r="O29" s="495"/>
      <c r="P29" s="495"/>
    </row>
    <row r="30" spans="1:16" s="510" customFormat="1" ht="35" customHeight="1" x14ac:dyDescent="0.3">
      <c r="A30" s="524"/>
      <c r="B30" s="749"/>
      <c r="C30" s="768">
        <v>2</v>
      </c>
      <c r="D30" s="508" t="s">
        <v>23</v>
      </c>
      <c r="E30" s="750" t="str">
        <f>IF(VLOOKUP(CONCATENATE($C$2,"-",$D30),Languages!$A:$D,1,TRUE)=CONCATENATE($C$2,"-",$D30),VLOOKUP(CONCATENATE($C$2,"-",$D30),Languages!$A:$D,Kybermittari!$C$7,TRUE),NA())</f>
        <v>Käyttöoikeusvaatimuksissa on huomioitu pienimmän valtuuden periaate ("least privilege") ja tehtävien eriyttämisen periaate ("separation of duties").</v>
      </c>
      <c r="F30" s="750"/>
      <c r="G30" s="750"/>
      <c r="H30" s="493">
        <f>IFERROR(INT(LEFT($I30,1)),0)</f>
        <v>0</v>
      </c>
      <c r="I30" s="54"/>
      <c r="J30" s="527"/>
      <c r="K30" s="509"/>
      <c r="L30" s="524"/>
      <c r="M30" s="545"/>
      <c r="N30" s="524"/>
      <c r="O30" s="495"/>
      <c r="P30" s="495"/>
    </row>
    <row r="31" spans="1:16" s="510" customFormat="1" ht="29.5" customHeight="1" x14ac:dyDescent="0.3">
      <c r="A31" s="524"/>
      <c r="B31" s="749"/>
      <c r="C31" s="768"/>
      <c r="D31" s="508" t="s">
        <v>24</v>
      </c>
      <c r="E31" s="750" t="str">
        <f>IF(VLOOKUP(CONCATENATE($C$2,"-",$D31),Languages!$A:$D,1,TRUE)=CONCATENATE($C$2,"-",$D31),VLOOKUP(CONCATENATE($C$2,"-",$D31),Languages!$A:$D,Kybermittari!$C$7,TRUE),NA())</f>
        <v>Suojattavan omaisuuden omistaja tarkistaa ja hyväksyy käyttöoikeuspyynnöt.</v>
      </c>
      <c r="F31" s="750"/>
      <c r="G31" s="750"/>
      <c r="H31" s="493">
        <f>IFERROR(INT(LEFT($I31,1)),0)</f>
        <v>0</v>
      </c>
      <c r="I31" s="54"/>
      <c r="J31" s="527"/>
      <c r="K31" s="509"/>
      <c r="L31" s="618"/>
      <c r="M31" s="545"/>
      <c r="N31" s="618"/>
      <c r="O31" s="495"/>
      <c r="P31" s="495"/>
    </row>
    <row r="32" spans="1:16" s="510" customFormat="1" ht="58" customHeight="1" x14ac:dyDescent="0.3">
      <c r="A32" s="524"/>
      <c r="B32" s="749"/>
      <c r="C32" s="768"/>
      <c r="D32" s="508" t="s">
        <v>112</v>
      </c>
      <c r="E32" s="750" t="str">
        <f>IF(VLOOKUP(CONCATENATE($C$2,"-",$D32),Languages!$A:$D,1,TRUE)=CONCATENATE($C$2,"-",$D32),VLOOKUP(CONCATENATE($C$2,"-",$D32),Languages!$A:$D,Kybermittari!$C$7,TRUE),NA())</f>
        <v>Root-oikeudet, järjestelmävalvojan oikeudet, hätäoikeudet ja jaetut tunnukset tarkistetaan ja hyväksytään tarkemmalla menettelyllä kuin normaalit oikeudet ja niiden käyttöä valvotaan tarkemmin.</v>
      </c>
      <c r="F32" s="750"/>
      <c r="G32" s="750"/>
      <c r="H32" s="493">
        <f>IFERROR(INT(LEFT($I32,1)),0)</f>
        <v>0</v>
      </c>
      <c r="I32" s="54"/>
      <c r="J32" s="527"/>
      <c r="K32" s="509"/>
      <c r="L32" s="524"/>
      <c r="M32" s="545"/>
      <c r="N32" s="524"/>
      <c r="O32" s="495"/>
      <c r="P32" s="495"/>
    </row>
    <row r="33" spans="1:16" s="510" customFormat="1" ht="10" customHeight="1" x14ac:dyDescent="0.3">
      <c r="A33" s="524"/>
      <c r="B33" s="749"/>
      <c r="C33" s="565"/>
      <c r="D33" s="513"/>
      <c r="E33" s="501"/>
      <c r="F33" s="501"/>
      <c r="G33" s="501"/>
      <c r="H33" s="499"/>
      <c r="I33" s="502"/>
      <c r="J33" s="514"/>
      <c r="K33" s="509"/>
      <c r="L33" s="524"/>
      <c r="M33" s="545"/>
      <c r="N33" s="524"/>
      <c r="O33" s="495"/>
      <c r="P33" s="495"/>
    </row>
    <row r="34" spans="1:16" s="510" customFormat="1" ht="47" customHeight="1" x14ac:dyDescent="0.3">
      <c r="A34" s="524"/>
      <c r="B34" s="749"/>
      <c r="C34" s="768">
        <v>3</v>
      </c>
      <c r="D34" s="508" t="s">
        <v>176</v>
      </c>
      <c r="E34" s="750" t="str">
        <f>IF(VLOOKUP(CONCATENATE($C$2,"-",$D34),Languages!$A:$D,1,TRUE)=CONCATENATE($C$2,"-",$D34),VLOOKUP(CONCATENATE($C$2,"-",$D34),Languages!$A:$D,Kybermittari!$C$7,TRUE),NA())</f>
        <v>Käyttöoikeudet katselmoidaan ja päivitetään ajantasaisiksi organisaation määrittelemin aikavälein, jotta varmistetaan että ne noudattavat asetettuja vaatimuksia.</v>
      </c>
      <c r="F34" s="750"/>
      <c r="G34" s="750"/>
      <c r="H34" s="493">
        <f>IFERROR(INT(LEFT($I34,1)),0)</f>
        <v>0</v>
      </c>
      <c r="I34" s="54"/>
      <c r="J34" s="527"/>
      <c r="K34" s="509"/>
      <c r="L34" s="483"/>
      <c r="M34" s="545"/>
      <c r="N34" s="523"/>
      <c r="O34" s="495"/>
      <c r="P34" s="495"/>
    </row>
    <row r="35" spans="1:16" s="510" customFormat="1" ht="35" customHeight="1" x14ac:dyDescent="0.3">
      <c r="A35" s="524"/>
      <c r="B35" s="749"/>
      <c r="C35" s="768"/>
      <c r="D35" s="508" t="s">
        <v>178</v>
      </c>
      <c r="E35" s="750" t="str">
        <f>IF(VLOOKUP(CONCATENATE($C$2,"-",$D35),Languages!$A:$D,1,TRUE)=CONCATENATE($C$2,"-",$D35),VLOOKUP(CONCATENATE($C$2,"-",$D35),Languages!$A:$D,Kybermittari!$C$7,TRUE),NA())</f>
        <v>Poikkeavia kirjautumis- ja yhteydenmuodostusyrityksiä seurataan ja ne rekisteröidään mahdollisina kybertapahtumina.</v>
      </c>
      <c r="F35" s="750"/>
      <c r="G35" s="750"/>
      <c r="H35" s="493">
        <f>IFERROR(INT(LEFT($I35,1)),0)</f>
        <v>0</v>
      </c>
      <c r="I35" s="54"/>
      <c r="J35" s="527"/>
      <c r="K35" s="509"/>
      <c r="L35" s="483"/>
      <c r="M35" s="545"/>
      <c r="N35" s="523"/>
      <c r="O35" s="495"/>
      <c r="P35" s="495"/>
    </row>
    <row r="36" spans="1:16" s="343" customFormat="1" ht="30" customHeight="1" x14ac:dyDescent="0.25">
      <c r="A36" s="332"/>
      <c r="B36" s="461"/>
      <c r="C36" s="336">
        <v>3</v>
      </c>
      <c r="D36" s="336" t="str">
        <f>IF(VLOOKUP(CONCATENATE($C$2,"-",C36),Languages!$A:$D,1,TRUE)=CONCATENATE($C$2,"-",C36),VLOOKUP(CONCATENATE($C$2,"-",C36),Languages!$A:$D,Kybermittari!$C$7,TRUE),NA())</f>
        <v>Yleisiä hallintatoimia</v>
      </c>
      <c r="E36" s="336"/>
      <c r="F36" s="506"/>
      <c r="G36" s="506"/>
      <c r="H36" s="506"/>
      <c r="I36" s="506" t="s">
        <v>19</v>
      </c>
      <c r="J36" s="507"/>
      <c r="K36" s="339"/>
      <c r="L36" s="332"/>
      <c r="M36" s="533"/>
      <c r="N36" s="636"/>
      <c r="O36" s="341"/>
      <c r="P36" s="341"/>
    </row>
    <row r="37" spans="1:16" s="475" customFormat="1" ht="47.5" customHeight="1" x14ac:dyDescent="0.3">
      <c r="A37" s="524"/>
      <c r="B37" s="525"/>
      <c r="C37" s="753" t="str">
        <f>IF(VLOOKUP(CONCATENATE($C$2,"-",$C36,"-0"),Languages!$A:$D,1,TRUE)=CONCATENATE($C$2,"-",$C36,"-0"),VLOOKUP(CONCATENATE($C$2,"-",$C36,"-0"),Languages!$A:$D,Kybermittari!$C$7,TRUE),NA())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37" s="753"/>
      <c r="E37" s="753"/>
      <c r="F37" s="753"/>
      <c r="G37" s="753"/>
      <c r="H37" s="753"/>
      <c r="I37" s="753"/>
      <c r="J37" s="753"/>
      <c r="K37" s="471"/>
      <c r="L37" s="483"/>
      <c r="M37" s="545"/>
      <c r="N37" s="523"/>
      <c r="O37" s="473"/>
      <c r="P37" s="473"/>
    </row>
    <row r="38" spans="1:16" s="547" customFormat="1" ht="20" customHeight="1" x14ac:dyDescent="0.3">
      <c r="A38" s="483"/>
      <c r="B38" s="476"/>
      <c r="C38" s="477" t="str">
        <f>IF(VLOOKUP("GEN-LEVEL",Languages!$A:$D,1,TRUE)="GEN-LEVEL",VLOOKUP("GEN-LEVEL",Languages!$A:$D,Kybermittari!$C$7,TRUE),NA())</f>
        <v>Taso</v>
      </c>
      <c r="D38" s="477"/>
      <c r="E38" s="478" t="str">
        <f>IF(VLOOKUP("GEN-PRACTICE",Languages!$A:$D,1,TRUE)="GEN-PRACTICE",VLOOKUP("GEN-PRACTICE",Languages!$A:$D,Kybermittari!$C$7,TRUE),NA())</f>
        <v>Käytäntö</v>
      </c>
      <c r="F38" s="479"/>
      <c r="G38" s="480"/>
      <c r="H38" s="481"/>
      <c r="I38" s="478" t="str">
        <f>IF(VLOOKUP("GEN-ANSWER",Languages!$A:$D,1,TRUE)="GEN-ANSWER",VLOOKUP("GEN-ANSWER",Languages!$A:$D,Kybermittari!$C$7,TRUE),NA())</f>
        <v>Vastaus</v>
      </c>
      <c r="J38" s="480" t="str">
        <f>IF(VLOOKUP("GEN-COMMENT",Languages!$A:$D,1,TRUE)="GEN-COMMENT",VLOOKUP("GEN-COMMENT",Languages!$A:$D,Kybermittari!$C$7,TRUE),NA())</f>
        <v>Kommentti ja viittaukset</v>
      </c>
      <c r="K38" s="482"/>
      <c r="L38" s="524"/>
      <c r="M38" s="545"/>
      <c r="N38" s="524"/>
      <c r="O38" s="546"/>
      <c r="P38" s="546"/>
    </row>
    <row r="39" spans="1:16" s="547" customFormat="1" ht="10" customHeight="1" x14ac:dyDescent="0.3">
      <c r="A39" s="483"/>
      <c r="B39" s="476"/>
      <c r="C39" s="487"/>
      <c r="D39" s="487"/>
      <c r="E39" s="488"/>
      <c r="F39" s="489"/>
      <c r="G39" s="490"/>
      <c r="H39" s="491"/>
      <c r="I39" s="488"/>
      <c r="J39" s="490"/>
      <c r="K39" s="482"/>
      <c r="L39" s="524"/>
      <c r="M39" s="545"/>
      <c r="N39" s="524"/>
      <c r="O39" s="546"/>
      <c r="P39" s="546"/>
    </row>
    <row r="40" spans="1:16" s="547" customFormat="1" ht="20" customHeight="1" x14ac:dyDescent="0.3">
      <c r="A40" s="483"/>
      <c r="B40" s="476"/>
      <c r="C40" s="557">
        <v>1</v>
      </c>
      <c r="D40" s="558"/>
      <c r="E40" s="559"/>
      <c r="F40" s="560"/>
      <c r="G40" s="561"/>
      <c r="H40" s="562"/>
      <c r="I40" s="559"/>
      <c r="J40" s="563"/>
      <c r="K40" s="482"/>
      <c r="L40" s="524"/>
      <c r="M40" s="545"/>
      <c r="N40" s="524"/>
      <c r="O40" s="546"/>
      <c r="P40" s="546"/>
    </row>
    <row r="41" spans="1:16" s="547" customFormat="1" ht="10" customHeight="1" x14ac:dyDescent="0.3">
      <c r="A41" s="483"/>
      <c r="B41" s="476"/>
      <c r="C41" s="487"/>
      <c r="D41" s="487"/>
      <c r="E41" s="488"/>
      <c r="F41" s="489"/>
      <c r="G41" s="490"/>
      <c r="H41" s="491"/>
      <c r="I41" s="488"/>
      <c r="J41" s="490"/>
      <c r="K41" s="482"/>
      <c r="L41" s="524"/>
      <c r="M41" s="545"/>
      <c r="N41" s="524"/>
      <c r="O41" s="546"/>
      <c r="P41" s="546"/>
    </row>
    <row r="42" spans="1:16" s="510" customFormat="1" ht="35" customHeight="1" x14ac:dyDescent="0.3">
      <c r="A42" s="524"/>
      <c r="B42" s="749"/>
      <c r="C42" s="768">
        <v>2</v>
      </c>
      <c r="D42" s="508" t="s">
        <v>25</v>
      </c>
      <c r="E42" s="750" t="str">
        <f>IF(VLOOKUP(CONCATENATE($C$2,"-",$D42),Languages!$A:$D,1,TRUE)=CONCATENATE($C$2,"-",$D42),VLOOKUP(CONCATENATE($C$2,"-",$D42),Languages!$A:$D,Kybermittari!$C$7,TRUE),NA())</f>
        <v>Identiteetin- ja pääsynhallinnan (ACCESS) osioon liittyen on määritetty dokumentoidut käytännöt, joita noudatetaan ja pidetään yllä.</v>
      </c>
      <c r="F42" s="750"/>
      <c r="G42" s="750"/>
      <c r="H42" s="493">
        <f>IFERROR(INT(LEFT($I42,1)),0)</f>
        <v>0</v>
      </c>
      <c r="I42" s="54"/>
      <c r="J42" s="527"/>
      <c r="K42" s="509"/>
      <c r="L42" s="524"/>
      <c r="M42" s="545"/>
      <c r="N42" s="524"/>
      <c r="O42" s="495"/>
      <c r="P42" s="495"/>
    </row>
    <row r="43" spans="1:16" s="510" customFormat="1" ht="35" customHeight="1" x14ac:dyDescent="0.3">
      <c r="A43" s="524"/>
      <c r="B43" s="749"/>
      <c r="C43" s="768"/>
      <c r="D43" s="508" t="s">
        <v>26</v>
      </c>
      <c r="E43" s="750" t="str">
        <f>IF(VLOOKUP(CONCATENATE($C$2,"-",$D43),Languages!$A:$D,1,TRUE)=CONCATENATE($C$2,"-",$D43),VLOOKUP(CONCATENATE($C$2,"-",$D43),Languages!$A:$D,Kybermittari!$C$7,TRUE),NA())</f>
        <v>Identiteetin- ja pääsynhallinnan (ACCESS) osion toimintaan on saatavilla riittävät resurssit (henkilöstö, rahoitus ja työkalut).</v>
      </c>
      <c r="F43" s="750"/>
      <c r="G43" s="750"/>
      <c r="H43" s="493">
        <f>IFERROR(INT(LEFT($I43,1)),0)</f>
        <v>0</v>
      </c>
      <c r="I43" s="54"/>
      <c r="J43" s="527"/>
      <c r="K43" s="509"/>
      <c r="L43" s="524"/>
      <c r="M43" s="545"/>
      <c r="N43" s="524"/>
      <c r="O43" s="495"/>
      <c r="P43" s="495"/>
    </row>
    <row r="44" spans="1:16" s="510" customFormat="1" ht="35" customHeight="1" x14ac:dyDescent="0.3">
      <c r="A44" s="524"/>
      <c r="B44" s="749"/>
      <c r="C44" s="768"/>
      <c r="D44" s="508" t="s">
        <v>27</v>
      </c>
      <c r="E44" s="750" t="str">
        <f>IF(VLOOKUP(CONCATENATE($C$2,"-",$D44),Languages!$A:$D,1,TRUE)=CONCATENATE($C$2,"-",$D44),VLOOKUP(CONCATENATE($C$2,"-",$D44),Languages!$A:$D,Kybermittari!$C$7,TRUE),NA())</f>
        <v>Identiteetin- ja pääsynhallinnan (ACCESS) osion toimintaa suorittavilla työntekijöillä on riittävät tiedot ja taidot tehtäviensä suorittamiseen.</v>
      </c>
      <c r="F44" s="750"/>
      <c r="G44" s="750"/>
      <c r="H44" s="493">
        <f>IFERROR(INT(LEFT($I44,1)),0)</f>
        <v>0</v>
      </c>
      <c r="I44" s="54"/>
      <c r="J44" s="527"/>
      <c r="K44" s="509"/>
      <c r="L44" s="524"/>
      <c r="M44" s="545"/>
      <c r="N44" s="524"/>
      <c r="O44" s="495"/>
      <c r="P44" s="495"/>
    </row>
    <row r="45" spans="1:16" s="510" customFormat="1" ht="35" customHeight="1" x14ac:dyDescent="0.3">
      <c r="A45" s="524"/>
      <c r="B45" s="749"/>
      <c r="C45" s="768"/>
      <c r="D45" s="508" t="s">
        <v>28</v>
      </c>
      <c r="E45" s="750" t="str">
        <f>IF(VLOOKUP(CONCATENATE($C$2,"-",$D45),Languages!$A:$D,1,TRUE)=CONCATENATE($C$2,"-",$D45),VLOOKUP(CONCATENATE($C$2,"-",$D45),Languages!$A:$D,Kybermittari!$C$7,TRUE),NA())</f>
        <v>Identiteetin- ja pääsynhallinnan (ACCESS) osion toiminnan suorittamiseen liittyvät vastuut ja valtuudet on osoitettu nimetyille työntekijöille.</v>
      </c>
      <c r="F45" s="750"/>
      <c r="G45" s="750"/>
      <c r="H45" s="493">
        <f>IFERROR(INT(LEFT($I45,1)),0)</f>
        <v>0</v>
      </c>
      <c r="I45" s="54"/>
      <c r="J45" s="527"/>
      <c r="K45" s="509"/>
      <c r="L45" s="524"/>
      <c r="M45" s="545"/>
      <c r="N45" s="524"/>
      <c r="O45" s="495"/>
      <c r="P45" s="495"/>
    </row>
    <row r="46" spans="1:16" s="510" customFormat="1" ht="10" customHeight="1" x14ac:dyDescent="0.3">
      <c r="A46" s="524"/>
      <c r="B46" s="511"/>
      <c r="C46" s="565"/>
      <c r="D46" s="513"/>
      <c r="E46" s="501"/>
      <c r="F46" s="501"/>
      <c r="G46" s="501"/>
      <c r="H46" s="499"/>
      <c r="I46" s="502"/>
      <c r="J46" s="514"/>
      <c r="K46" s="509"/>
      <c r="L46" s="524"/>
      <c r="M46" s="545"/>
      <c r="N46" s="524"/>
      <c r="O46" s="495"/>
      <c r="P46" s="495"/>
    </row>
    <row r="47" spans="1:16" s="510" customFormat="1" ht="60" customHeight="1" x14ac:dyDescent="0.3">
      <c r="A47" s="524"/>
      <c r="B47" s="749"/>
      <c r="C47" s="768">
        <v>3</v>
      </c>
      <c r="D47" s="508" t="s">
        <v>29</v>
      </c>
      <c r="E47" s="750" t="str">
        <f>IF(VLOOKUP(CONCATENATE($C$2,"-",$D47),Languages!$A:$D,1,TRUE)=CONCATENATE($C$2,"-",$D47),VLOOKUP(CONCATENATE($C$2,"-",$D47),Languages!$A:$D,Kybermittari!$C$7,TRUE),NA())</f>
        <v>Identiteetin- ja pääsynhallinnan (ACCESS) osion toiminta perustuu organisaation määrittämään ja ylläpitämään johtotason politiikkaan (tai vastaavaan ohjeistukseen), jossa asetetaan nimenomaisia vaatimuksia tämän osion toiminnalle.</v>
      </c>
      <c r="F47" s="750"/>
      <c r="G47" s="750"/>
      <c r="H47" s="493">
        <f>IFERROR(INT(LEFT($I47,1)),0)</f>
        <v>0</v>
      </c>
      <c r="I47" s="54"/>
      <c r="J47" s="527"/>
      <c r="K47" s="509"/>
      <c r="L47" s="524"/>
      <c r="M47" s="545"/>
      <c r="N47" s="524"/>
      <c r="O47" s="495"/>
      <c r="P47" s="495"/>
    </row>
    <row r="48" spans="1:16" s="510" customFormat="1" ht="35" customHeight="1" x14ac:dyDescent="0.3">
      <c r="A48" s="524"/>
      <c r="B48" s="749"/>
      <c r="C48" s="768"/>
      <c r="D48" s="508" t="s">
        <v>30</v>
      </c>
      <c r="E48" s="750" t="str">
        <f>IF(VLOOKUP(CONCATENATE($C$2,"-",$D48),Languages!$A:$D,1,TRUE)=CONCATENATE($C$2,"-",$D48),VLOOKUP(CONCATENATE($C$2,"-",$D48),Languages!$A:$D,Kybermittari!$C$7,TRUE),NA())</f>
        <v>Identiteetin- ja pääsynhallinnan (ACCESS) osion toiminnalle on määritetty suoriutumistavoitteet, joiden toteutumista seurataan [kts. PROGRAM-1b].</v>
      </c>
      <c r="F48" s="750"/>
      <c r="G48" s="750"/>
      <c r="H48" s="493">
        <f>IFERROR(INT(LEFT($I48,1)),0)</f>
        <v>0</v>
      </c>
      <c r="I48" s="54"/>
      <c r="J48" s="527"/>
      <c r="K48" s="509"/>
      <c r="L48" s="618"/>
      <c r="M48" s="545"/>
      <c r="N48" s="618"/>
      <c r="O48" s="495"/>
      <c r="P48" s="495"/>
    </row>
    <row r="49" spans="1:16" s="510" customFormat="1" ht="35" customHeight="1" x14ac:dyDescent="0.3">
      <c r="A49" s="524"/>
      <c r="B49" s="749"/>
      <c r="C49" s="768"/>
      <c r="D49" s="508" t="s">
        <v>31</v>
      </c>
      <c r="E49" s="750" t="str">
        <f>IF(VLOOKUP(CONCATENATE($C$2,"-",$D49),Languages!$A:$D,1,TRUE)=CONCATENATE($C$2,"-",$D49),VLOOKUP(CONCATENATE($C$2,"-",$D49),Languages!$A:$D,Kybermittari!$C$7,TRUE),NA())</f>
        <v>Identiteetin- ja pääsynhallinnan (ACCESS) osioon liittyvät käytännöt on standardoitu läpi koko organisaation ja niitä kehitetään aktiivisesti.</v>
      </c>
      <c r="F49" s="750"/>
      <c r="G49" s="750"/>
      <c r="H49" s="493">
        <f>IFERROR(INT(LEFT($I49,1)),0)</f>
        <v>0</v>
      </c>
      <c r="I49" s="54"/>
      <c r="J49" s="527"/>
      <c r="K49" s="509"/>
      <c r="L49" s="524"/>
      <c r="M49" s="545"/>
      <c r="N49" s="524"/>
      <c r="O49" s="495"/>
      <c r="P49" s="495"/>
    </row>
    <row r="50" spans="1:16" x14ac:dyDescent="0.25">
      <c r="A50" s="347"/>
      <c r="B50" s="619"/>
      <c r="C50" s="620"/>
      <c r="D50" s="621"/>
      <c r="E50" s="622"/>
      <c r="F50" s="622"/>
      <c r="G50" s="622"/>
      <c r="H50" s="623"/>
      <c r="I50" s="624"/>
      <c r="J50" s="625"/>
      <c r="K50" s="626"/>
      <c r="L50" s="332"/>
      <c r="M50" s="533"/>
      <c r="N50" s="636"/>
    </row>
    <row r="51" spans="1:16" x14ac:dyDescent="0.25">
      <c r="A51" s="347"/>
      <c r="B51" s="347"/>
      <c r="C51" s="347"/>
      <c r="D51" s="347"/>
      <c r="E51" s="347"/>
      <c r="F51" s="347"/>
      <c r="G51" s="347"/>
      <c r="H51" s="627"/>
      <c r="I51" s="347"/>
      <c r="J51" s="347"/>
      <c r="K51" s="347"/>
      <c r="L51" s="332"/>
      <c r="M51" s="533"/>
      <c r="N51" s="636"/>
    </row>
    <row r="52" spans="1:16" x14ac:dyDescent="0.25">
      <c r="L52" s="631"/>
      <c r="M52" s="630"/>
      <c r="N52" s="349"/>
    </row>
    <row r="53" spans="1:16" x14ac:dyDescent="0.25">
      <c r="L53" s="631"/>
      <c r="M53" s="630"/>
      <c r="N53" s="349"/>
    </row>
    <row r="54" spans="1:16" x14ac:dyDescent="0.25">
      <c r="L54" s="631"/>
      <c r="M54" s="630"/>
      <c r="N54" s="349"/>
    </row>
    <row r="55" spans="1:16" x14ac:dyDescent="0.25">
      <c r="L55" s="631"/>
      <c r="M55" s="630"/>
      <c r="N55" s="349"/>
    </row>
    <row r="56" spans="1:16" x14ac:dyDescent="0.25">
      <c r="L56" s="631"/>
      <c r="M56" s="630"/>
      <c r="N56" s="349"/>
    </row>
    <row r="57" spans="1:16" x14ac:dyDescent="0.25">
      <c r="L57" s="631"/>
      <c r="M57" s="630"/>
      <c r="N57" s="349"/>
    </row>
    <row r="58" spans="1:16" x14ac:dyDescent="0.25">
      <c r="L58" s="631"/>
      <c r="M58" s="630"/>
      <c r="N58" s="349"/>
    </row>
    <row r="59" spans="1:16" x14ac:dyDescent="0.25">
      <c r="L59" s="631"/>
      <c r="M59" s="630"/>
      <c r="N59" s="349"/>
    </row>
    <row r="60" spans="1:16" x14ac:dyDescent="0.25">
      <c r="L60" s="631"/>
      <c r="M60" s="630"/>
      <c r="N60" s="349"/>
    </row>
    <row r="61" spans="1:16" x14ac:dyDescent="0.25">
      <c r="L61" s="631"/>
      <c r="M61" s="630"/>
      <c r="N61" s="349"/>
    </row>
    <row r="62" spans="1:16" x14ac:dyDescent="0.25">
      <c r="L62" s="631"/>
      <c r="M62" s="630"/>
      <c r="N62" s="349"/>
    </row>
    <row r="63" spans="1:16" x14ac:dyDescent="0.25">
      <c r="L63" s="631"/>
      <c r="M63" s="630"/>
      <c r="N63" s="349"/>
    </row>
  </sheetData>
  <sheetProtection sheet="1" objects="1" scenarios="1"/>
  <mergeCells count="39">
    <mergeCell ref="E21:G21"/>
    <mergeCell ref="B47:B49"/>
    <mergeCell ref="C47:C49"/>
    <mergeCell ref="B42:B45"/>
    <mergeCell ref="B26:B27"/>
    <mergeCell ref="E47:G47"/>
    <mergeCell ref="E48:G48"/>
    <mergeCell ref="E49:G49"/>
    <mergeCell ref="C37:J37"/>
    <mergeCell ref="C42:C45"/>
    <mergeCell ref="E42:G42"/>
    <mergeCell ref="E43:G43"/>
    <mergeCell ref="E44:G44"/>
    <mergeCell ref="E45:G45"/>
    <mergeCell ref="B28:B35"/>
    <mergeCell ref="E35:G35"/>
    <mergeCell ref="E31:G31"/>
    <mergeCell ref="E32:G32"/>
    <mergeCell ref="E34:G34"/>
    <mergeCell ref="C23:J23"/>
    <mergeCell ref="E26:G26"/>
    <mergeCell ref="E27:G27"/>
    <mergeCell ref="E28:G28"/>
    <mergeCell ref="E30:G30"/>
    <mergeCell ref="C26:C28"/>
    <mergeCell ref="C30:C32"/>
    <mergeCell ref="C34:C35"/>
    <mergeCell ref="B15:B19"/>
    <mergeCell ref="E15:G15"/>
    <mergeCell ref="E17:G17"/>
    <mergeCell ref="E18:G18"/>
    <mergeCell ref="E19:G19"/>
    <mergeCell ref="C13:C15"/>
    <mergeCell ref="C17:C19"/>
    <mergeCell ref="C10:J10"/>
    <mergeCell ref="B13:B14"/>
    <mergeCell ref="E13:G13"/>
    <mergeCell ref="E14:G14"/>
    <mergeCell ref="C5:J5"/>
  </mergeCells>
  <conditionalFormatting sqref="H40">
    <cfRule type="containsText" dxfId="61" priority="5" operator="containsText" text="0">
      <formula>NOT(ISERROR(SEARCH("0",H40)))</formula>
    </cfRule>
  </conditionalFormatting>
  <conditionalFormatting sqref="H1:H1048576">
    <cfRule type="containsText" dxfId="60"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C9F9FD20-98D7-4FC5-BB0D-9549F77058F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H40</xm:sqref>
        </x14:conditionalFormatting>
        <x14:conditionalFormatting xmlns:xm="http://schemas.microsoft.com/office/excel/2006/main">
          <x14:cfRule type="iconSet" priority="4" id="{E38E2DAA-D23E-4039-AAA5-1F8BD2F37A5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I13:I15 I17:I19 I21 I26:I28 I30:I32 I34:I35 I42:I45 I47:I49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63"/>
  <sheetViews>
    <sheetView showGridLines="0" zoomScaleNormal="100" workbookViewId="0">
      <selection activeCell="I13" sqref="I13"/>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69</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Uhkien ja haavoittuvuuksien hallinta</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47" customHeight="1" x14ac:dyDescent="0.25">
      <c r="A5" s="344"/>
      <c r="B5" s="532"/>
      <c r="C5" s="758" t="str">
        <f>IF(VLOOKUP(CONCATENATE(C2,"-0"),Languages!$A:$D,1,TRUE)=CONCATENATE(C2,"-0"),VLOOKUP(CONCATENATE(C2,"-0"),Languages!$A:$D,Kybermittari!$C$7,TRUE),NA())</f>
        <v>Uhkien ja haavoittuvuuksien hallinnan osiossa arvioidaan organisaation kykyä havaita ja hallita mahdollisia kyberuhkia ja haavoittuvuuksia. Organisaation tulee määritellä ja ylläpitää suunnitelmia, prosesseja ja teknologiaa, joiden avulla havaita, tunnistaa, analysoida, hallita ja vastata kyberuhkiin ja haavoittuvuuksiin. Toimien tulee olla suhteessa sekä suojattaviin kohteisiin kohdistuviin riskeihin, että organisaation asettamiin tavoitteisiin.</v>
      </c>
      <c r="D5" s="758"/>
      <c r="E5" s="758"/>
      <c r="F5" s="758"/>
      <c r="G5" s="758"/>
      <c r="H5" s="758"/>
      <c r="I5" s="758"/>
      <c r="J5" s="758"/>
      <c r="K5" s="356"/>
      <c r="L5" s="344"/>
      <c r="M5" s="533"/>
      <c r="N5" s="344"/>
    </row>
    <row r="6" spans="1:16" ht="14.5" x14ac:dyDescent="0.25">
      <c r="A6" s="344"/>
      <c r="B6" s="532"/>
      <c r="C6" s="456">
        <v>1</v>
      </c>
      <c r="D6" s="457" t="s">
        <v>2</v>
      </c>
      <c r="E6" s="458" t="str">
        <f>IF(VLOOKUP(CONCATENATE($C$2,"-",C6),Languages!$A:$D,1,TRUE)=CONCATENATE($C$2,"-",C6),VLOOKUP(CONCATENATE($C$2,"-",C6),Languages!$A:$D,Kybermittari!$C$7,TRUE),NA())</f>
        <v>Uhkien tunnistaminen ja hallinta</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Haavoittuvuuksien rajoittaminen</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Yleisiä hallintatoimia</v>
      </c>
      <c r="F8" s="607"/>
      <c r="G8" s="386"/>
      <c r="H8" s="610"/>
      <c r="I8" s="459" t="str">
        <f ca="1">VLOOKUP(VLOOKUP(CONCATENATE($C$2,"-",$C8),Data!$K:$O,5,FALSE),Parameters!$C$7:$F$10,Kybermittari!$C$7,FALSE)</f>
        <v>Kypsyystaso 1</v>
      </c>
      <c r="J8" s="611"/>
      <c r="K8" s="356"/>
      <c r="L8" s="344"/>
      <c r="M8" s="533"/>
      <c r="N8" s="344"/>
    </row>
    <row r="9" spans="1:16" s="343" customFormat="1" ht="30" customHeight="1" x14ac:dyDescent="0.25">
      <c r="A9" s="332"/>
      <c r="B9" s="461"/>
      <c r="C9" s="336">
        <v>1</v>
      </c>
      <c r="D9" s="336" t="str">
        <f>IF(VLOOKUP(CONCATENATE($C$2,"-",C9),Languages!$A:$D,1,TRUE)=CONCATENATE($C$2,"-",C9),VLOOKUP(CONCATENATE($C$2,"-",C9),Languages!$A:$D,Kybermittari!$C$7,TRUE),NA())</f>
        <v>Uhkien tunnistaminen ja hallinta</v>
      </c>
      <c r="E9" s="336"/>
      <c r="F9" s="463"/>
      <c r="G9" s="463"/>
      <c r="H9" s="464"/>
      <c r="I9" s="464"/>
      <c r="J9" s="465"/>
      <c r="K9" s="466"/>
      <c r="L9" s="344"/>
      <c r="M9" s="533"/>
      <c r="N9" s="344"/>
      <c r="O9" s="341"/>
      <c r="P9" s="341"/>
    </row>
    <row r="10" spans="1:16" s="475" customFormat="1" ht="63" customHeight="1" x14ac:dyDescent="0.3">
      <c r="A10" s="469"/>
      <c r="B10" s="470"/>
      <c r="C10" s="753" t="str">
        <f>IF(VLOOKUP(CONCATENATE($C$2,"-",$C9,"-0"),Languages!$A:$D,1,TRUE)=CONCATENATE($C$2,"-",$C9,"-0"),VLOOKUP(CONCATENATE($C$2,"-",$C9,"-0"),Languages!$A:$D,Kybermittari!$C$7,TRUE),NA())</f>
        <v>Uhkien tunnistaminen ja hallinta alkaa relevantin uhkatiedon keräämisellä luotettavista lähteistä, tulkitsemalla kerättyä tietoa suhteessa organisaation omaan toimintaympäristöön ja reagoimalla niihin uhkiin, joilla on mahdollisuus vaikuttaa palveluiden toimintavarmuuteen. Organisaation uhkaprofiili sisältää kuvaukset mahdollisista uhkatekijöistä, mkl. uhkatekijöiden kyvykkyyksistä, tavoitteista ja kohteista. Uhkaprofiilia voidaan käyttää uhkien tarkempaan tunnistamiseen, sitä voidaan hyödyntää osana riskien analysointia ja arviointia [kts. RISK] tai kyberturvallisuuden tilannekuvan muodostamiseen [kts. SITUATION].</v>
      </c>
      <c r="D10" s="753"/>
      <c r="E10" s="753"/>
      <c r="F10" s="753"/>
      <c r="G10" s="753"/>
      <c r="H10" s="753"/>
      <c r="I10" s="753"/>
      <c r="J10" s="753"/>
      <c r="K10" s="471"/>
      <c r="L10" s="612"/>
      <c r="M10" s="545"/>
      <c r="N10" s="483"/>
      <c r="O10" s="473"/>
      <c r="P10" s="473"/>
    </row>
    <row r="11" spans="1:16" s="547" customFormat="1" ht="20" customHeight="1" x14ac:dyDescent="0.3">
      <c r="A11" s="483"/>
      <c r="B11" s="476"/>
      <c r="C11" s="477" t="str">
        <f>IF(VLOOKUP("GEN-LEVEL",Languages!$A:$D,1,TRUE)="GEN-LEVEL",VLOOKUP("GEN-LEVEL",Languages!$A:$D,Kybermittari!$C$7,TRUE),NA())</f>
        <v>Taso</v>
      </c>
      <c r="D11" s="477"/>
      <c r="E11" s="478" t="str">
        <f>IF(VLOOKUP("GEN-PRACTICE",Languages!$A:$D,1,TRUE)="GEN-PRACTICE",VLOOKUP("GEN-PRACTICE",Languages!$A:$D,Kybermittari!$C$7,TRUE),NA())</f>
        <v>Käytäntö</v>
      </c>
      <c r="F11" s="479"/>
      <c r="G11" s="480"/>
      <c r="H11" s="481"/>
      <c r="I11" s="478" t="str">
        <f>IF(VLOOKUP("GEN-ANSWER",Languages!$A:$D,1,TRUE)="GEN-ANSWER",VLOOKUP("GEN-ANSWER",Languages!$A:$D,Kybermittari!$C$7,TRUE),NA())</f>
        <v>Vastaus</v>
      </c>
      <c r="J11" s="480" t="str">
        <f>IF(VLOOKUP("GEN-COMMENT",Languages!$A:$D,1,TRUE)="GEN-COMMENT",VLOOKUP("GEN-COMMENT",Languages!$A:$D,Kybermittari!$C$7,TRUE),NA())</f>
        <v>Kommentti ja viittaukset</v>
      </c>
      <c r="K11" s="482"/>
      <c r="L11" s="469"/>
      <c r="M11" s="545"/>
      <c r="N11" s="469"/>
      <c r="O11" s="546"/>
      <c r="P11" s="546"/>
    </row>
    <row r="12" spans="1:16" s="547" customFormat="1" ht="10" customHeight="1" x14ac:dyDescent="0.3">
      <c r="A12" s="483"/>
      <c r="B12" s="476"/>
      <c r="C12" s="487"/>
      <c r="D12" s="487"/>
      <c r="E12" s="488"/>
      <c r="F12" s="489"/>
      <c r="G12" s="490"/>
      <c r="H12" s="491"/>
      <c r="I12" s="488"/>
      <c r="J12" s="490"/>
      <c r="K12" s="482"/>
      <c r="L12" s="469"/>
      <c r="M12" s="545"/>
      <c r="N12" s="469"/>
      <c r="O12" s="546"/>
      <c r="P12" s="546"/>
    </row>
    <row r="13" spans="1:16" s="495" customFormat="1" ht="50.5" customHeight="1" x14ac:dyDescent="0.3">
      <c r="A13" s="469"/>
      <c r="B13" s="757"/>
      <c r="C13" s="759">
        <v>1</v>
      </c>
      <c r="D13" s="492" t="s">
        <v>7</v>
      </c>
      <c r="E13" s="750" t="str">
        <f>IF(VLOOKUP(CONCATENATE($C$2,"-",$D13),Languages!$A:$D,1,TRUE)=CONCATENATE($C$2,"-",$D13),VLOOKUP(CONCATENATE($C$2,"-",$D13),Languages!$A:$D,Kybermittari!$C$7,TRUE),NA())</f>
        <v>Organisaatio tunnistaa uhkien hallintaa varten sekä sisäisiä että ulkoisia tiedonlähteitä (esim. Kybertuvallisuuskeskus, saman sektorin muut organisaatiot tai toimittajat) - ainakin tapauskohtaisesti.</v>
      </c>
      <c r="F13" s="750"/>
      <c r="G13" s="750"/>
      <c r="H13" s="493">
        <f t="shared" ref="H13" si="0">IFERROR(INT(LEFT($I13,1)),0)</f>
        <v>0</v>
      </c>
      <c r="I13" s="54"/>
      <c r="J13" s="526"/>
      <c r="K13" s="494"/>
      <c r="L13" s="483"/>
      <c r="M13" s="545"/>
      <c r="N13" s="483"/>
    </row>
    <row r="14" spans="1:16" s="495" customFormat="1" ht="35" customHeight="1" x14ac:dyDescent="0.3">
      <c r="A14" s="469"/>
      <c r="B14" s="757"/>
      <c r="C14" s="760"/>
      <c r="D14" s="492" t="s">
        <v>9</v>
      </c>
      <c r="E14" s="750" t="str">
        <f>IF(VLOOKUP(CONCATENATE($C$2,"-",$D14),Languages!$A:$D,1,TRUE)=CONCATENATE($C$2,"-",$D14),VLOOKUP(CONCATENATE($C$2,"-",$D14),Languages!$A:$D,Kybermittari!$C$7,TRUE),NA())</f>
        <v>Kyberuhkatietoa kerätään ja tulkitaan toiminnan osa-alueen näkökulmasta - ainakin tapauskohtaisesti.</v>
      </c>
      <c r="F14" s="750"/>
      <c r="G14" s="750"/>
      <c r="H14" s="493">
        <f>IFERROR(INT(LEFT($I14,1)),0)</f>
        <v>0</v>
      </c>
      <c r="I14" s="54"/>
      <c r="J14" s="526"/>
      <c r="K14" s="494"/>
      <c r="L14" s="483"/>
      <c r="M14" s="545"/>
      <c r="N14" s="483"/>
    </row>
    <row r="15" spans="1:16" s="495" customFormat="1" ht="47" customHeight="1" x14ac:dyDescent="0.3">
      <c r="A15" s="469"/>
      <c r="B15" s="757"/>
      <c r="C15" s="761"/>
      <c r="D15" s="492" t="s">
        <v>10</v>
      </c>
      <c r="E15" s="750" t="str">
        <f>IF(VLOOKUP(CONCATENATE($C$2,"-",$D15),Languages!$A:$D,1,TRUE)=CONCATENATE($C$2,"-",$D15),VLOOKUP(CONCATENATE($C$2,"-",$D15),Languages!$A:$D,Kybermittari!$C$7,TRUE),NA())</f>
        <v>Toiminnan osa-alueen toimintavarmuuden kannalta olennaisille uhkille tehdään tarvittavat toimenpiteet niiden hallitsemiseksi (esim. kontrollien implementointi, uhkatason seuranta) - ainakin tapauskohtaisesti.</v>
      </c>
      <c r="F15" s="750"/>
      <c r="G15" s="750"/>
      <c r="H15" s="493">
        <f>IFERROR(INT(LEFT($I15,1)),0)</f>
        <v>0</v>
      </c>
      <c r="I15" s="54"/>
      <c r="J15" s="526"/>
      <c r="K15" s="494"/>
      <c r="L15" s="469"/>
      <c r="M15" s="545"/>
      <c r="N15" s="469"/>
    </row>
    <row r="16" spans="1:16" s="495" customFormat="1" ht="10" customHeight="1" x14ac:dyDescent="0.3">
      <c r="A16" s="469"/>
      <c r="B16" s="757"/>
      <c r="C16" s="498"/>
      <c r="D16" s="499"/>
      <c r="E16" s="501"/>
      <c r="F16" s="501"/>
      <c r="G16" s="501"/>
      <c r="H16" s="499"/>
      <c r="I16" s="502"/>
      <c r="J16" s="502"/>
      <c r="K16" s="494"/>
      <c r="L16" s="469"/>
      <c r="M16" s="545"/>
      <c r="N16" s="469"/>
    </row>
    <row r="17" spans="1:16" s="495" customFormat="1" ht="47" customHeight="1" x14ac:dyDescent="0.3">
      <c r="A17" s="469"/>
      <c r="B17" s="757"/>
      <c r="C17" s="759">
        <v>2</v>
      </c>
      <c r="D17" s="492" t="s">
        <v>11</v>
      </c>
      <c r="E17" s="756" t="str">
        <f>IF(VLOOKUP(CONCATENATE($C$2,"-",$D17),Languages!$A:$D,1,TRUE)=CONCATENATE($C$2,"-",$D17),VLOOKUP(CONCATENATE($C$2,"-",$D17),Languages!$A:$D,Kybermittari!$C$7,TRUE),NA())</f>
        <v>Organisaatio on määrittänyt toiminnan osa-alueelle uhkaprofiilin, jossa kuvataan esimerkiksi uhkatekijät ("threat actors") ja uhkatekijöiden tavoitteet, aikomukset, kyvykkyydet ja kohteet.</v>
      </c>
      <c r="F17" s="756"/>
      <c r="G17" s="756"/>
      <c r="H17" s="493">
        <f>IFERROR(INT(LEFT($I17,1)),0)</f>
        <v>0</v>
      </c>
      <c r="I17" s="54"/>
      <c r="J17" s="526"/>
      <c r="K17" s="494"/>
      <c r="L17" s="469"/>
      <c r="M17" s="545"/>
      <c r="N17" s="469"/>
    </row>
    <row r="18" spans="1:16" s="495" customFormat="1" ht="47" customHeight="1" x14ac:dyDescent="0.3">
      <c r="A18" s="469"/>
      <c r="B18" s="757"/>
      <c r="C18" s="760"/>
      <c r="D18" s="503" t="s">
        <v>12</v>
      </c>
      <c r="E18" s="756" t="str">
        <f>IF(VLOOKUP(CONCATENATE($C$2,"-",$D18),Languages!$A:$D,1,TRUE)=CONCATENATE($C$2,"-",$D18),VLOOKUP(CONCATENATE($C$2,"-",$D18),Languages!$A:$D,Kybermittari!$C$7,TRUE),NA())</f>
        <v>Organisaatio tunnistaa ja priorisoi sellaiset tietolähteet, jotka kattavat kokonaisuudessaan kaikki uhkaprofiilin osat, ja monitoroi näitä lähteitä aktiivisesti.</v>
      </c>
      <c r="F18" s="756"/>
      <c r="G18" s="756"/>
      <c r="H18" s="493">
        <f>IFERROR(INT(LEFT($I18,1)),0)</f>
        <v>0</v>
      </c>
      <c r="I18" s="54"/>
      <c r="J18" s="527"/>
      <c r="K18" s="504"/>
      <c r="L18" s="549"/>
      <c r="M18" s="545"/>
      <c r="N18" s="549"/>
    </row>
    <row r="19" spans="1:16" s="495" customFormat="1" ht="35" customHeight="1" x14ac:dyDescent="0.3">
      <c r="A19" s="469"/>
      <c r="B19" s="757"/>
      <c r="C19" s="760"/>
      <c r="D19" s="503" t="s">
        <v>13</v>
      </c>
      <c r="E19" s="756" t="str">
        <f>IF(VLOOKUP(CONCATENATE($C$2,"-",$D19),Languages!$A:$D,1,TRUE)=CONCATENATE($C$2,"-",$D19),VLOOKUP(CONCATENATE($C$2,"-",$D19),Languages!$A:$D,Kybermittari!$C$7,TRUE),NA())</f>
        <v>Tunnistetut uhat analysoidaan, priorisoidaan ja niihin vastataan tarvittavin keinoin.</v>
      </c>
      <c r="F19" s="756"/>
      <c r="G19" s="756"/>
      <c r="H19" s="493">
        <f>IFERROR(INT(LEFT($I19,1)),0)</f>
        <v>0</v>
      </c>
      <c r="I19" s="54"/>
      <c r="J19" s="527"/>
      <c r="K19" s="504"/>
      <c r="L19" s="469"/>
      <c r="M19" s="545"/>
      <c r="N19" s="469"/>
    </row>
    <row r="20" spans="1:16" s="495" customFormat="1" ht="35" customHeight="1" x14ac:dyDescent="0.3">
      <c r="A20" s="469"/>
      <c r="B20" s="755"/>
      <c r="C20" s="761"/>
      <c r="D20" s="503" t="s">
        <v>14</v>
      </c>
      <c r="E20" s="756" t="str">
        <f>IF(VLOOKUP(CONCATENATE($C$2,"-",$D20),Languages!$A:$D,1,TRUE)=CONCATENATE($C$2,"-",$D20),VLOOKUP(CONCATENATE($C$2,"-",$D20),Languages!$A:$D,Kybermittari!$C$7,TRUE),NA())</f>
        <v>Kyberuhkatietoa tarjotaan valituille henkilöille ja/tai osastoille.</v>
      </c>
      <c r="F20" s="756"/>
      <c r="G20" s="756"/>
      <c r="H20" s="493">
        <f>IFERROR(INT(LEFT($I20,1)),0)</f>
        <v>0</v>
      </c>
      <c r="I20" s="54"/>
      <c r="J20" s="527"/>
      <c r="K20" s="504"/>
      <c r="L20" s="469"/>
      <c r="M20" s="545"/>
      <c r="N20" s="469"/>
    </row>
    <row r="21" spans="1:16" s="495" customFormat="1" ht="10" customHeight="1" x14ac:dyDescent="0.3">
      <c r="A21" s="469"/>
      <c r="B21" s="755"/>
      <c r="C21" s="498"/>
      <c r="D21" s="614"/>
      <c r="E21" s="615"/>
      <c r="F21" s="615"/>
      <c r="G21" s="615"/>
      <c r="H21" s="499"/>
      <c r="I21" s="502"/>
      <c r="J21" s="514"/>
      <c r="K21" s="504"/>
      <c r="L21" s="469"/>
      <c r="M21" s="545"/>
      <c r="N21" s="469"/>
    </row>
    <row r="22" spans="1:16" s="495" customFormat="1" ht="35" customHeight="1" x14ac:dyDescent="0.3">
      <c r="A22" s="469"/>
      <c r="B22" s="755"/>
      <c r="C22" s="762">
        <v>3</v>
      </c>
      <c r="D22" s="503" t="s">
        <v>15</v>
      </c>
      <c r="E22" s="756" t="str">
        <f>IF(VLOOKUP(CONCATENATE($C$2,"-",$D22),Languages!$A:$D,1,TRUE)=CONCATENATE($C$2,"-",$D22),VLOOKUP(CONCATENATE($C$2,"-",$D22),Languages!$A:$D,Kybermittari!$C$7,TRUE),NA())</f>
        <v>Uhkaprofiili päivitetään organisaation määrittelemin aikavälein.</v>
      </c>
      <c r="F22" s="756"/>
      <c r="G22" s="756"/>
      <c r="H22" s="493">
        <f>IFERROR(INT(LEFT($I22,1)),0)</f>
        <v>0</v>
      </c>
      <c r="I22" s="54"/>
      <c r="J22" s="527"/>
      <c r="K22" s="504"/>
      <c r="L22" s="524"/>
      <c r="M22" s="545"/>
      <c r="N22" s="524"/>
    </row>
    <row r="23" spans="1:16" s="495" customFormat="1" ht="35" customHeight="1" x14ac:dyDescent="0.3">
      <c r="A23" s="469"/>
      <c r="B23" s="755"/>
      <c r="C23" s="763"/>
      <c r="D23" s="503" t="s">
        <v>16</v>
      </c>
      <c r="E23" s="756" t="str">
        <f>IF(VLOOKUP(CONCATENATE($C$2,"-",$D23),Languages!$A:$D,1,TRUE)=CONCATENATE($C$2,"-",$D23),VLOOKUP(CONCATENATE($C$2,"-",$D23),Languages!$A:$D,Kybermittari!$C$7,TRUE),NA())</f>
        <v>Uhat, jotka aiheuttavat riskin toiminnan osa-alueelle, viedään riskienhallintaprosessiin päätöksiä ja toimenpiteitä varten [kts. RISK-1e].</v>
      </c>
      <c r="F23" s="756"/>
      <c r="G23" s="756"/>
      <c r="H23" s="493">
        <f>IFERROR(INT(LEFT($I23,1)),0)</f>
        <v>0</v>
      </c>
      <c r="I23" s="54"/>
      <c r="J23" s="527"/>
      <c r="K23" s="504"/>
      <c r="L23" s="524"/>
      <c r="M23" s="545"/>
      <c r="N23" s="524"/>
    </row>
    <row r="24" spans="1:16" s="495" customFormat="1" ht="47" customHeight="1" x14ac:dyDescent="0.3">
      <c r="A24" s="469"/>
      <c r="B24" s="755"/>
      <c r="C24" s="763"/>
      <c r="D24" s="503" t="s">
        <v>18</v>
      </c>
      <c r="E24" s="756" t="str">
        <f>IF(VLOOKUP(CONCATENATE($C$2,"-",$D24),Languages!$A:$D,1,TRUE)=CONCATENATE($C$2,"-",$D24),VLOOKUP(CONCATENATE($C$2,"-",$D24),Languages!$A:$D,Kybermittari!$C$7,TRUE),NA())</f>
        <v>Uhkien monitoroinnissa ja vastatoimissa hyödynnetään (ja tarvittaessa käynnistetään) organisaation ennalta määrättyjä toimintatapoja ("predefined states of operation") [kts. SITUATION-3h].</v>
      </c>
      <c r="F24" s="756"/>
      <c r="G24" s="756"/>
      <c r="H24" s="493">
        <f>IFERROR(INT(LEFT($I24,1)),0)</f>
        <v>0</v>
      </c>
      <c r="I24" s="54"/>
      <c r="J24" s="527"/>
      <c r="K24" s="504"/>
      <c r="L24" s="524"/>
      <c r="M24" s="545"/>
      <c r="N24" s="524"/>
    </row>
    <row r="25" spans="1:16" s="495" customFormat="1" ht="75" customHeight="1" x14ac:dyDescent="0.3">
      <c r="A25" s="469"/>
      <c r="B25" s="755"/>
      <c r="C25" s="763"/>
      <c r="D25" s="503" t="s">
        <v>197</v>
      </c>
      <c r="E25" s="756" t="str">
        <f>IF(VLOOKUP(CONCATENATE($C$2,"-",$D25),Languages!$A:$D,1,TRUE)=CONCATENATE($C$2,"-",$D25),VLOOKUP(CONCATENATE($C$2,"-",$D25),Languages!$A:$D,Kybermittari!$C$7,TRUE),NA())</f>
        <v>Uhkatietojen jakamisen kannalta olennaiset sidosryhmät on tunnistettu ja sitoutettu perustuen niiden merkitykseen toiminnan jatkuvuudesta (kuten valtio, liitännäiset organisaatiot, toimittajat, toimialan muut organisaatiot, sääntelyviranomaiset, tiedonjako-organisaatio ("information sharing and analysis centres, ISAC") tai organisaation sisäiset tahot).</v>
      </c>
      <c r="F25" s="756"/>
      <c r="G25" s="756"/>
      <c r="H25" s="493">
        <f>IFERROR(INT(LEFT($I25,1)),0)</f>
        <v>0</v>
      </c>
      <c r="I25" s="54"/>
      <c r="J25" s="527"/>
      <c r="K25" s="504"/>
      <c r="L25" s="524"/>
      <c r="M25" s="545"/>
      <c r="N25" s="524"/>
    </row>
    <row r="26" spans="1:16" s="495" customFormat="1" ht="35" customHeight="1" x14ac:dyDescent="0.3">
      <c r="A26" s="469"/>
      <c r="B26" s="755"/>
      <c r="C26" s="764"/>
      <c r="D26" s="503" t="s">
        <v>199</v>
      </c>
      <c r="E26" s="756" t="str">
        <f>IF(VLOOKUP(CONCATENATE($C$2,"-",$D26),Languages!$A:$D,1,TRUE)=CONCATENATE($C$2,"-",$D26),VLOOKUP(CONCATENATE($C$2,"-",$D26),Languages!$A:$D,Kybermittari!$C$7,TRUE),NA())</f>
        <v>Turvallisia ja automatisoituja työkulkuja hyödynnetään uhkatietojen julkaisuun, käsittelyyn, analysointiin sekä uhkatietoihin reagointiin.</v>
      </c>
      <c r="F26" s="756"/>
      <c r="G26" s="756"/>
      <c r="H26" s="493">
        <f>IFERROR(INT(LEFT($I26,1)),0)</f>
        <v>0</v>
      </c>
      <c r="I26" s="54"/>
      <c r="J26" s="527"/>
      <c r="K26" s="504"/>
      <c r="L26" s="524"/>
      <c r="M26" s="545"/>
      <c r="N26" s="524"/>
    </row>
    <row r="27" spans="1:16" s="343" customFormat="1" ht="30" customHeight="1" x14ac:dyDescent="0.25">
      <c r="A27" s="332"/>
      <c r="B27" s="461"/>
      <c r="C27" s="336">
        <v>2</v>
      </c>
      <c r="D27" s="336" t="str">
        <f>IF(VLOOKUP(CONCATENATE($C$2,"-",C27),Languages!$A:$D,1,TRUE)=CONCATENATE($C$2,"-",C27),VLOOKUP(CONCATENATE($C$2,"-",C27),Languages!$A:$D,Kybermittari!$C$7,TRUE),NA())</f>
        <v>Haavoittuvuuksien rajoittaminen</v>
      </c>
      <c r="E27" s="336"/>
      <c r="F27" s="506"/>
      <c r="G27" s="506"/>
      <c r="H27" s="506"/>
      <c r="I27" s="506" t="s">
        <v>19</v>
      </c>
      <c r="J27" s="507"/>
      <c r="K27" s="339"/>
      <c r="L27" s="347"/>
      <c r="M27" s="533"/>
      <c r="N27" s="347"/>
      <c r="O27" s="341"/>
      <c r="P27" s="341"/>
    </row>
    <row r="28" spans="1:16" s="475" customFormat="1" ht="62.5" customHeight="1" x14ac:dyDescent="0.3">
      <c r="A28" s="469"/>
      <c r="B28" s="470"/>
      <c r="C28" s="753" t="str">
        <f>IF(VLOOKUP(CONCATENATE($C$2,"-",$C27,"-0"),Languages!$A:$D,1,TRUE)=CONCATENATE($C$2,"-",$C27,"-0"),VLOOKUP(CONCATENATE($C$2,"-",$C27,"-0"),Languages!$A:$D,Kybermittari!$C$7,TRUE),NA())</f>
        <v>Haavoittuvuuksien rajoittaminen alkaa keräämällä ja analysoimalla haavoittuvuustietoa. Haavoittuvuuksia voidaan kartoittaa esimerkiksi automaattisten skannaustyökalujen avulla, verkkojen tunkeutumistestauksilla, kyberharjoituksilla ja auditoinneilla. Haavoittuvuuksien analysoinnissa tulisi ottaa huomioon sekä paikallinen vaikutus (eli haavoittuvuuden mahdollinen vaikutus suojattavaan kohteeseen itseensä), että suojattavan kohteen merkitys toiminnan osa-alueen toimintavarmuuteen. Haavoittuvuuksia voidaan torjua toteuttamalla suojaavia toimenpiteitä, monitoroimalla uhkatilannetta, asentamalla turvallisuuspäivityksiä tai muilla tavoin.</v>
      </c>
      <c r="D28" s="753"/>
      <c r="E28" s="753"/>
      <c r="F28" s="753"/>
      <c r="G28" s="753"/>
      <c r="H28" s="753"/>
      <c r="I28" s="753"/>
      <c r="J28" s="753"/>
      <c r="K28" s="471"/>
      <c r="L28" s="524"/>
      <c r="M28" s="545"/>
      <c r="N28" s="524"/>
      <c r="O28" s="473"/>
      <c r="P28" s="473"/>
    </row>
    <row r="29" spans="1:16" s="547" customFormat="1" ht="20" customHeight="1" x14ac:dyDescent="0.3">
      <c r="A29" s="483"/>
      <c r="B29" s="476"/>
      <c r="C29" s="477" t="str">
        <f>IF(VLOOKUP("GEN-LEVEL",Languages!$A:$D,1,TRUE)="GEN-LEVEL",VLOOKUP("GEN-LEVEL",Languages!$A:$D,Kybermittari!$C$7,TRUE),NA())</f>
        <v>Taso</v>
      </c>
      <c r="D29" s="477"/>
      <c r="E29" s="478" t="str">
        <f>IF(VLOOKUP("GEN-PRACTICE",Languages!$A:$D,1,TRUE)="GEN-PRACTICE",VLOOKUP("GEN-PRACTICE",Languages!$A:$D,Kybermittari!$C$7,TRUE),NA())</f>
        <v>Käytäntö</v>
      </c>
      <c r="F29" s="479"/>
      <c r="G29" s="480"/>
      <c r="H29" s="481"/>
      <c r="I29" s="478" t="str">
        <f>IF(VLOOKUP("GEN-ANSWER",Languages!$A:$D,1,TRUE)="GEN-ANSWER",VLOOKUP("GEN-ANSWER",Languages!$A:$D,Kybermittari!$C$7,TRUE),NA())</f>
        <v>Vastaus</v>
      </c>
      <c r="J29" s="480" t="str">
        <f>IF(VLOOKUP("GEN-COMMENT",Languages!$A:$D,1,TRUE)="GEN-COMMENT",VLOOKUP("GEN-COMMENT",Languages!$A:$D,Kybermittari!$C$7,TRUE),NA())</f>
        <v>Kommentti ja viittaukset</v>
      </c>
      <c r="K29" s="482"/>
      <c r="L29" s="618"/>
      <c r="M29" s="545"/>
      <c r="N29" s="618"/>
      <c r="O29" s="546"/>
      <c r="P29" s="546"/>
    </row>
    <row r="30" spans="1:16" s="547" customFormat="1" ht="10" customHeight="1" x14ac:dyDescent="0.3">
      <c r="A30" s="483"/>
      <c r="B30" s="476"/>
      <c r="C30" s="487"/>
      <c r="D30" s="487"/>
      <c r="E30" s="488"/>
      <c r="F30" s="489"/>
      <c r="G30" s="490"/>
      <c r="H30" s="491"/>
      <c r="I30" s="488"/>
      <c r="J30" s="490"/>
      <c r="K30" s="482"/>
      <c r="L30" s="618"/>
      <c r="M30" s="545"/>
      <c r="N30" s="618"/>
      <c r="O30" s="546"/>
      <c r="P30" s="546"/>
    </row>
    <row r="31" spans="1:16" s="510" customFormat="1" ht="47" customHeight="1" x14ac:dyDescent="0.3">
      <c r="A31" s="524"/>
      <c r="B31" s="749"/>
      <c r="C31" s="765">
        <v>1</v>
      </c>
      <c r="D31" s="508" t="s">
        <v>20</v>
      </c>
      <c r="E31" s="750" t="str">
        <f>IF(VLOOKUP(CONCATENATE($C$2,"-",$D31),Languages!$A:$D,1,TRUE)=CONCATENATE($C$2,"-",$D31),VLOOKUP(CONCATENATE($C$2,"-",$D31),Languages!$A:$D,Kybermittari!$C$7,TRUE),NA())</f>
        <v>Organisaatio on tunnistanut tiedonlähteet haavoittuvuuksien tunnistamista varten (esim. CERT-FI, ISAC-ryhmät, toimialan muut organisaatiot, toimittajat tai sisäiset arvioinnit) - ainakin tapauskohtaisesti.</v>
      </c>
      <c r="F31" s="750"/>
      <c r="G31" s="750"/>
      <c r="H31" s="493">
        <f>IFERROR(INT(LEFT($I31,1)),0)</f>
        <v>0</v>
      </c>
      <c r="I31" s="54"/>
      <c r="J31" s="526"/>
      <c r="K31" s="509"/>
      <c r="L31" s="524"/>
      <c r="M31" s="545"/>
      <c r="N31" s="524"/>
      <c r="O31" s="495"/>
      <c r="P31" s="495"/>
    </row>
    <row r="32" spans="1:16" s="510" customFormat="1" ht="35" customHeight="1" x14ac:dyDescent="0.3">
      <c r="A32" s="524"/>
      <c r="B32" s="749"/>
      <c r="C32" s="766"/>
      <c r="D32" s="508" t="s">
        <v>21</v>
      </c>
      <c r="E32" s="750" t="str">
        <f>IF(VLOOKUP(CONCATENATE($C$2,"-",$D32),Languages!$A:$D,1,TRUE)=CONCATENATE($C$2,"-",$D32),VLOOKUP(CONCATENATE($C$2,"-",$D32),Languages!$A:$D,Kybermittari!$C$7,TRUE),NA())</f>
        <v>Haavoittuvuustietoa kerätään ja tulkitaan toiminnan osa-alueen näkökulmasta - ainakin tapauskohtaisesti.</v>
      </c>
      <c r="F32" s="750"/>
      <c r="G32" s="750"/>
      <c r="H32" s="493">
        <f>IFERROR(INT(LEFT($I32,1)),0)</f>
        <v>0</v>
      </c>
      <c r="I32" s="54"/>
      <c r="J32" s="527"/>
      <c r="K32" s="509"/>
      <c r="L32" s="483"/>
      <c r="M32" s="545"/>
      <c r="N32" s="523"/>
      <c r="O32" s="495"/>
      <c r="P32" s="495"/>
    </row>
    <row r="33" spans="1:16" s="510" customFormat="1" ht="46" customHeight="1" x14ac:dyDescent="0.3">
      <c r="A33" s="524"/>
      <c r="B33" s="749"/>
      <c r="C33" s="766"/>
      <c r="D33" s="508" t="s">
        <v>22</v>
      </c>
      <c r="E33" s="750" t="str">
        <f>IF(VLOOKUP(CONCATENATE($C$2,"-",$D33),Languages!$A:$D,1,TRUE)=CONCATENATE($C$2,"-",$D33),VLOOKUP(CONCATENATE($C$2,"-",$D33),Languages!$A:$D,Kybermittari!$C$7,TRUE),NA())</f>
        <v>Haavoittuvuuskartoituksia suoritetaan (esim. elinkaaren tai käyttötuen loppupuolella olevien sovellusten ja laitteiden läpikäynti, haavoittuvuusskannaukset, tunkeutumistestaukset) - ainakin tapauskohtaisesti.</v>
      </c>
      <c r="F33" s="750"/>
      <c r="G33" s="750"/>
      <c r="H33" s="493">
        <f>IFERROR(INT(LEFT($I33,1)),0)</f>
        <v>0</v>
      </c>
      <c r="I33" s="54"/>
      <c r="J33" s="527"/>
      <c r="K33" s="509"/>
      <c r="L33" s="483"/>
      <c r="M33" s="545"/>
      <c r="N33" s="523"/>
      <c r="O33" s="495"/>
      <c r="P33" s="495"/>
    </row>
    <row r="34" spans="1:16" s="510" customFormat="1" ht="60" customHeight="1" x14ac:dyDescent="0.3">
      <c r="A34" s="524"/>
      <c r="B34" s="749"/>
      <c r="C34" s="767"/>
      <c r="D34" s="508" t="s">
        <v>23</v>
      </c>
      <c r="E34" s="750" t="str">
        <f>IF(VLOOKUP(CONCATENATE($C$2,"-",$D34),Languages!$A:$D,1,TRUE)=CONCATENATE($C$2,"-",$D34),VLOOKUP(CONCATENATE($C$2,"-",$D34),Languages!$A:$D,Kybermittari!$C$7,TRUE),NA())</f>
        <v>Toiminnan osa-alueen toimintavarmuuden kannalta olennaisille haavoittuvuuksille tehdään tarvittavat toimenpiteet niiden hallitsemiseksi (esim. kontrollien implementointi tai ohjelmistokorjauksien asennus) - ainakin tapauskohtaisesti.</v>
      </c>
      <c r="F34" s="750"/>
      <c r="G34" s="750"/>
      <c r="H34" s="493">
        <f>IFERROR(INT(LEFT($I34,1)),0)</f>
        <v>0</v>
      </c>
      <c r="I34" s="54"/>
      <c r="J34" s="527"/>
      <c r="K34" s="509"/>
      <c r="L34" s="483"/>
      <c r="M34" s="545"/>
      <c r="N34" s="523"/>
      <c r="O34" s="495"/>
      <c r="P34" s="495"/>
    </row>
    <row r="35" spans="1:16" s="510" customFormat="1" ht="10" customHeight="1" x14ac:dyDescent="0.3">
      <c r="A35" s="524"/>
      <c r="B35" s="749"/>
      <c r="C35" s="565"/>
      <c r="D35" s="513"/>
      <c r="E35" s="501"/>
      <c r="F35" s="501"/>
      <c r="G35" s="501"/>
      <c r="H35" s="499"/>
      <c r="I35" s="502"/>
      <c r="J35" s="514"/>
      <c r="K35" s="509"/>
      <c r="L35" s="483"/>
      <c r="M35" s="545"/>
      <c r="N35" s="523"/>
      <c r="O35" s="495"/>
      <c r="P35" s="495"/>
    </row>
    <row r="36" spans="1:16" s="510" customFormat="1" ht="35" customHeight="1" x14ac:dyDescent="0.3">
      <c r="A36" s="524"/>
      <c r="B36" s="749"/>
      <c r="C36" s="765">
        <v>2</v>
      </c>
      <c r="D36" s="508" t="s">
        <v>24</v>
      </c>
      <c r="E36" s="750" t="str">
        <f>IF(VLOOKUP(CONCATENATE($C$2,"-",$D36),Languages!$A:$D,1,TRUE)=CONCATENATE($C$2,"-",$D36),VLOOKUP(CONCATENATE($C$2,"-",$D36),Languages!$A:$D,Kybermittari!$C$7,TRUE),NA())</f>
        <v>Organisaatio monitoroi kaikkia niitä haavoittuvuustiedon lähteitä, jotka yhdessä kattavat kaikki toiminnan osa-alueen kannalta tärkeät suojattavat kohteet.</v>
      </c>
      <c r="F36" s="750"/>
      <c r="G36" s="750"/>
      <c r="H36" s="493">
        <f>IFERROR(INT(LEFT($I36,1)),0)</f>
        <v>0</v>
      </c>
      <c r="I36" s="54"/>
      <c r="J36" s="527"/>
      <c r="K36" s="509"/>
      <c r="L36" s="483"/>
      <c r="M36" s="545"/>
      <c r="N36" s="523"/>
      <c r="O36" s="495"/>
      <c r="P36" s="495"/>
    </row>
    <row r="37" spans="1:16" s="510" customFormat="1" ht="35" customHeight="1" x14ac:dyDescent="0.3">
      <c r="A37" s="524"/>
      <c r="B37" s="749"/>
      <c r="C37" s="766"/>
      <c r="D37" s="508" t="s">
        <v>112</v>
      </c>
      <c r="E37" s="750" t="str">
        <f>IF(VLOOKUP(CONCATENATE($C$2,"-",$D37),Languages!$A:$D,1,TRUE)=CONCATENATE($C$2,"-",$D37),VLOOKUP(CONCATENATE($C$2,"-",$D37),Languages!$A:$D,Kybermittari!$C$7,TRUE),NA())</f>
        <v>Haavoittuvuuskartoituksia suoritetaan organisaation määrittelemin aikavälein.</v>
      </c>
      <c r="F37" s="750"/>
      <c r="G37" s="750"/>
      <c r="H37" s="493">
        <f>IFERROR(INT(LEFT($I37,1)),0)</f>
        <v>0</v>
      </c>
      <c r="I37" s="54"/>
      <c r="J37" s="527"/>
      <c r="K37" s="509"/>
      <c r="L37" s="524"/>
      <c r="M37" s="545"/>
      <c r="N37" s="524"/>
      <c r="O37" s="495"/>
      <c r="P37" s="495"/>
    </row>
    <row r="38" spans="1:16" s="510" customFormat="1" ht="58" customHeight="1" x14ac:dyDescent="0.3">
      <c r="A38" s="524"/>
      <c r="B38" s="749"/>
      <c r="C38" s="766"/>
      <c r="D38" s="508" t="s">
        <v>176</v>
      </c>
      <c r="E38" s="750" t="str">
        <f>IF(VLOOKUP(CONCATENATE($C$2,"-",$D38),Languages!$A:$D,1,TRUE)=CONCATENATE($C$2,"-",$D38),VLOOKUP(CONCATENATE($C$2,"-",$D38),Languages!$A:$D,Kybermittari!$C$7,TRUE),NA())</f>
        <v>Tunnistetut haavoittuvuudet analysoidaan, priorisoidaan ja niihin vastataan tarvittavin keinoin. Työkaluna käytetään esimerkiksi NIST Common Vulnerability Scoring System-määrittelyä sovellushaavoittuvuuksiin tai sisäisiä ohjeita muun tyyppisiin haavoittuvuuksiin.</v>
      </c>
      <c r="F38" s="750"/>
      <c r="G38" s="750"/>
      <c r="H38" s="493">
        <f>IFERROR(INT(LEFT($I38,1)),0)</f>
        <v>0</v>
      </c>
      <c r="I38" s="54"/>
      <c r="J38" s="527"/>
      <c r="K38" s="509"/>
      <c r="L38" s="524"/>
      <c r="M38" s="545"/>
      <c r="N38" s="524"/>
      <c r="O38" s="495"/>
      <c r="P38" s="495"/>
    </row>
    <row r="39" spans="1:16" s="510" customFormat="1" ht="35" customHeight="1" x14ac:dyDescent="0.3">
      <c r="A39" s="524"/>
      <c r="B39" s="749"/>
      <c r="C39" s="766"/>
      <c r="D39" s="508" t="s">
        <v>178</v>
      </c>
      <c r="E39" s="750" t="str">
        <f>IF(VLOOKUP(CONCATENATE($C$2,"-",$D39),Languages!$A:$D,1,TRUE)=CONCATENATE($C$2,"-",$D39),VLOOKUP(CONCATENATE($C$2,"-",$D39),Languages!$A:$D,Kybermittari!$C$7,TRUE),NA())</f>
        <v>Ohjelmistokorjausten aiheuttama operatiivinen vaikutus arvioidaan ennen niiden asentamista.</v>
      </c>
      <c r="F39" s="750"/>
      <c r="G39" s="750"/>
      <c r="H39" s="493">
        <f>IFERROR(INT(LEFT($I39,1)),0)</f>
        <v>0</v>
      </c>
      <c r="I39" s="54"/>
      <c r="J39" s="527"/>
      <c r="K39" s="509"/>
      <c r="L39" s="524"/>
      <c r="M39" s="545"/>
      <c r="N39" s="524"/>
      <c r="O39" s="495"/>
      <c r="P39" s="495"/>
    </row>
    <row r="40" spans="1:16" s="510" customFormat="1" ht="35" customHeight="1" x14ac:dyDescent="0.3">
      <c r="A40" s="524"/>
      <c r="B40" s="749"/>
      <c r="C40" s="767"/>
      <c r="D40" s="508" t="s">
        <v>209</v>
      </c>
      <c r="E40" s="750" t="str">
        <f>IF(VLOOKUP(CONCATENATE($C$2,"-",$D40),Languages!$A:$D,1,TRUE)=CONCATENATE($C$2,"-",$D40),VLOOKUP(CONCATENATE($C$2,"-",$D40),Languages!$A:$D,Kybermittari!$C$7,TRUE),NA())</f>
        <v>Tietoa löydetyistä haavoittuvuuksista jaetaan organisaation määrittelemille sidosryhmille.</v>
      </c>
      <c r="F40" s="750"/>
      <c r="G40" s="750"/>
      <c r="H40" s="493">
        <f>IFERROR(INT(LEFT($I40,1)),0)</f>
        <v>0</v>
      </c>
      <c r="I40" s="54"/>
      <c r="J40" s="527"/>
      <c r="K40" s="509"/>
      <c r="L40" s="524"/>
      <c r="M40" s="545"/>
      <c r="N40" s="524"/>
      <c r="O40" s="495"/>
      <c r="P40" s="495"/>
    </row>
    <row r="41" spans="1:16" s="510" customFormat="1" ht="10" customHeight="1" x14ac:dyDescent="0.3">
      <c r="A41" s="524"/>
      <c r="B41" s="749"/>
      <c r="C41" s="565"/>
      <c r="D41" s="513"/>
      <c r="E41" s="501"/>
      <c r="F41" s="501"/>
      <c r="G41" s="501"/>
      <c r="H41" s="499"/>
      <c r="I41" s="502"/>
      <c r="J41" s="514"/>
      <c r="K41" s="509"/>
      <c r="L41" s="524"/>
      <c r="M41" s="545"/>
      <c r="N41" s="524"/>
      <c r="O41" s="495"/>
      <c r="P41" s="495"/>
    </row>
    <row r="42" spans="1:16" s="510" customFormat="1" ht="47" customHeight="1" x14ac:dyDescent="0.3">
      <c r="A42" s="524"/>
      <c r="B42" s="749"/>
      <c r="C42" s="765">
        <v>3</v>
      </c>
      <c r="D42" s="508" t="s">
        <v>211</v>
      </c>
      <c r="E42" s="750" t="str">
        <f>IF(VLOOKUP(CONCATENATE($C$2,"-",$D42),Languages!$A:$D,1,TRUE)=CONCATENATE($C$2,"-",$D42),VLOOKUP(CONCATENATE($C$2,"-",$D42),Languages!$A:$D,Kybermittari!$C$7,TRUE),NA())</f>
        <v>Haavoittuvuuskartoituksia suoritetaan kaikille toiminnan osa-alueen toimintavarmuuden kannalta tärkeille suojattaville kohteille organisaation määrittelemin aikavälein.</v>
      </c>
      <c r="F42" s="750"/>
      <c r="G42" s="750"/>
      <c r="H42" s="493">
        <f>IFERROR(INT(LEFT($I42,1)),0)</f>
        <v>0</v>
      </c>
      <c r="I42" s="54"/>
      <c r="J42" s="527"/>
      <c r="K42" s="509"/>
      <c r="L42" s="524"/>
      <c r="M42" s="545"/>
      <c r="N42" s="524"/>
      <c r="O42" s="495"/>
      <c r="P42" s="495"/>
    </row>
    <row r="43" spans="1:16" s="510" customFormat="1" ht="35" customHeight="1" x14ac:dyDescent="0.3">
      <c r="A43" s="524"/>
      <c r="B43" s="749"/>
      <c r="C43" s="766"/>
      <c r="D43" s="508" t="s">
        <v>213</v>
      </c>
      <c r="E43" s="750" t="str">
        <f>IF(VLOOKUP(CONCATENATE($C$2,"-",$D43),Languages!$A:$D,1,TRUE)=CONCATENATE($C$2,"-",$D43),VLOOKUP(CONCATENATE($C$2,"-",$D43),Languages!$A:$D,Kybermittari!$C$7,TRUE),NA())</f>
        <v>Haavoittuvuuskartoitukset suorittaa operatiivisesta organisaatiosta riippumaton taho.</v>
      </c>
      <c r="F43" s="750"/>
      <c r="G43" s="750"/>
      <c r="H43" s="493">
        <f>IFERROR(INT(LEFT($I43,1)),0)</f>
        <v>0</v>
      </c>
      <c r="I43" s="54"/>
      <c r="J43" s="527"/>
      <c r="K43" s="509"/>
      <c r="L43" s="524"/>
      <c r="M43" s="545"/>
      <c r="N43" s="524"/>
      <c r="O43" s="495"/>
      <c r="P43" s="495"/>
    </row>
    <row r="44" spans="1:16" s="510" customFormat="1" ht="35" customHeight="1" x14ac:dyDescent="0.3">
      <c r="A44" s="524"/>
      <c r="B44" s="749"/>
      <c r="C44" s="766"/>
      <c r="D44" s="508" t="s">
        <v>215</v>
      </c>
      <c r="E44" s="750" t="str">
        <f>IF(VLOOKUP(CONCATENATE($C$2,"-",$D44),Languages!$A:$D,1,TRUE)=CONCATENATE($C$2,"-",$D44),VLOOKUP(CONCATENATE($C$2,"-",$D44),Languages!$A:$D,Kybermittari!$C$7,TRUE),NA())</f>
        <v>Tunnistetut haavoittuvuudet, jotka aiheuttavat riskin toiminnan osa-alueelle, viedään riskienhallintaprosessiin käsiteltäväksi [kts. RISK-1e].</v>
      </c>
      <c r="F44" s="750"/>
      <c r="G44" s="750"/>
      <c r="H44" s="493">
        <f>IFERROR(INT(LEFT($I44,1)),0)</f>
        <v>0</v>
      </c>
      <c r="I44" s="54"/>
      <c r="J44" s="527"/>
      <c r="K44" s="509"/>
      <c r="L44" s="618"/>
      <c r="M44" s="545"/>
      <c r="N44" s="618"/>
      <c r="O44" s="495"/>
      <c r="P44" s="495"/>
    </row>
    <row r="45" spans="1:16" s="510" customFormat="1" ht="47" customHeight="1" x14ac:dyDescent="0.3">
      <c r="A45" s="524"/>
      <c r="B45" s="749"/>
      <c r="C45" s="767"/>
      <c r="D45" s="508" t="s">
        <v>217</v>
      </c>
      <c r="E45" s="750" t="str">
        <f>IF(VLOOKUP(CONCATENATE($C$2,"-",$D45),Languages!$A:$D,1,TRUE)=CONCATENATE($C$2,"-",$D45),VLOOKUP(CONCATENATE($C$2,"-",$D45),Languages!$A:$D,Kybermittari!$C$7,TRUE),NA())</f>
        <v>Riskien jatkuva monitorointi kattaa haavoittuvuuksille tehtyjen toimenpiteiden (esim. ohjelmistokorjausten asentaminen tai muut toimenpiteet) arvioinnin sekä varmistamisen silloin kun se on tarpeellista.</v>
      </c>
      <c r="F45" s="750"/>
      <c r="G45" s="750"/>
      <c r="H45" s="493">
        <f>IFERROR(INT(LEFT($I45,1)),0)</f>
        <v>0</v>
      </c>
      <c r="I45" s="54"/>
      <c r="J45" s="527"/>
      <c r="K45" s="509"/>
      <c r="L45" s="524"/>
      <c r="M45" s="545"/>
      <c r="N45" s="524"/>
      <c r="O45" s="495"/>
      <c r="P45" s="495"/>
    </row>
    <row r="46" spans="1:16" s="343" customFormat="1" ht="30" customHeight="1" x14ac:dyDescent="0.25">
      <c r="A46" s="332"/>
      <c r="B46" s="461"/>
      <c r="C46" s="336">
        <v>3</v>
      </c>
      <c r="D46" s="336" t="str">
        <f>IF(VLOOKUP(CONCATENATE($C$2,"-",C46),Languages!$A:$D,1,TRUE)=CONCATENATE($C$2,"-",C46),VLOOKUP(CONCATENATE($C$2,"-",C46),Languages!$A:$D,Kybermittari!$C$7,TRUE),NA())</f>
        <v>Yleisiä hallintatoimia</v>
      </c>
      <c r="E46" s="336"/>
      <c r="F46" s="506"/>
      <c r="G46" s="506"/>
      <c r="H46" s="506"/>
      <c r="I46" s="506" t="s">
        <v>19</v>
      </c>
      <c r="J46" s="507"/>
      <c r="K46" s="339"/>
      <c r="L46" s="332"/>
      <c r="M46" s="533"/>
      <c r="N46" s="636"/>
      <c r="O46" s="341"/>
      <c r="P46" s="341"/>
    </row>
    <row r="47" spans="1:16" s="475" customFormat="1" ht="46.5" customHeight="1" x14ac:dyDescent="0.3">
      <c r="A47" s="524"/>
      <c r="B47" s="525"/>
      <c r="C47" s="753" t="str">
        <f>IF(VLOOKUP(CONCATENATE($C$2,"-",$C46,"-0"),Languages!$A:$D,1,TRUE)=CONCATENATE($C$2,"-",$C46,"-0"),VLOOKUP(CONCATENATE($C$2,"-",$C46,"-0"),Languages!$A:$D,Kybermittari!$C$7,TRUE),NA())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47" s="753"/>
      <c r="E47" s="753"/>
      <c r="F47" s="753"/>
      <c r="G47" s="753"/>
      <c r="H47" s="753"/>
      <c r="I47" s="753"/>
      <c r="J47" s="753"/>
      <c r="K47" s="471"/>
      <c r="L47" s="483"/>
      <c r="M47" s="545"/>
      <c r="N47" s="523"/>
      <c r="O47" s="473"/>
      <c r="P47" s="473"/>
    </row>
    <row r="48" spans="1:16" s="547" customFormat="1" ht="20" customHeight="1" x14ac:dyDescent="0.3">
      <c r="A48" s="483"/>
      <c r="B48" s="476"/>
      <c r="C48" s="477" t="str">
        <f>IF(VLOOKUP("GEN-LEVEL",Languages!$A:$D,1,TRUE)="GEN-LEVEL",VLOOKUP("GEN-LEVEL",Languages!$A:$D,Kybermittari!$C$7,TRUE),NA())</f>
        <v>Taso</v>
      </c>
      <c r="D48" s="477"/>
      <c r="E48" s="478" t="str">
        <f>IF(VLOOKUP("GEN-PRACTICE",Languages!$A:$D,1,TRUE)="GEN-PRACTICE",VLOOKUP("GEN-PRACTICE",Languages!$A:$D,Kybermittari!$C$7,TRUE),NA())</f>
        <v>Käytäntö</v>
      </c>
      <c r="F48" s="479"/>
      <c r="G48" s="480"/>
      <c r="H48" s="481"/>
      <c r="I48" s="478" t="str">
        <f>IF(VLOOKUP("GEN-ANSWER",Languages!$A:$D,1,TRUE)="GEN-ANSWER",VLOOKUP("GEN-ANSWER",Languages!$A:$D,Kybermittari!$C$7,TRUE),NA())</f>
        <v>Vastaus</v>
      </c>
      <c r="J48" s="480" t="str">
        <f>IF(VLOOKUP("GEN-COMMENT",Languages!$A:$D,1,TRUE)="GEN-COMMENT",VLOOKUP("GEN-COMMENT",Languages!$A:$D,Kybermittari!$C$7,TRUE),NA())</f>
        <v>Kommentti ja viittaukset</v>
      </c>
      <c r="K48" s="482"/>
      <c r="L48" s="483"/>
      <c r="M48" s="545"/>
      <c r="N48" s="523"/>
      <c r="O48" s="546"/>
      <c r="P48" s="546"/>
    </row>
    <row r="49" spans="1:16" s="547" customFormat="1" ht="10" customHeight="1" x14ac:dyDescent="0.3">
      <c r="A49" s="483"/>
      <c r="B49" s="476"/>
      <c r="C49" s="477"/>
      <c r="D49" s="487"/>
      <c r="E49" s="488"/>
      <c r="F49" s="489"/>
      <c r="G49" s="490"/>
      <c r="H49" s="491"/>
      <c r="I49" s="488"/>
      <c r="J49" s="490"/>
      <c r="K49" s="482"/>
      <c r="L49" s="483"/>
      <c r="M49" s="545"/>
      <c r="N49" s="523"/>
      <c r="O49" s="546"/>
      <c r="P49" s="546"/>
    </row>
    <row r="50" spans="1:16" s="547" customFormat="1" ht="20" customHeight="1" x14ac:dyDescent="0.3">
      <c r="A50" s="483"/>
      <c r="B50" s="476"/>
      <c r="C50" s="557">
        <v>1</v>
      </c>
      <c r="D50" s="558"/>
      <c r="E50" s="559"/>
      <c r="F50" s="560"/>
      <c r="G50" s="561"/>
      <c r="H50" s="562"/>
      <c r="I50" s="559"/>
      <c r="J50" s="563"/>
      <c r="K50" s="482"/>
      <c r="L50" s="483"/>
      <c r="M50" s="545"/>
      <c r="N50" s="523"/>
      <c r="O50" s="546"/>
      <c r="P50" s="546"/>
    </row>
    <row r="51" spans="1:16" s="547" customFormat="1" ht="10" customHeight="1" x14ac:dyDescent="0.3">
      <c r="A51" s="483"/>
      <c r="B51" s="476"/>
      <c r="C51" s="477"/>
      <c r="D51" s="487"/>
      <c r="E51" s="488"/>
      <c r="F51" s="489"/>
      <c r="G51" s="490"/>
      <c r="H51" s="491"/>
      <c r="I51" s="488"/>
      <c r="J51" s="490"/>
      <c r="K51" s="482"/>
      <c r="L51" s="483"/>
      <c r="M51" s="545"/>
      <c r="N51" s="523"/>
      <c r="O51" s="546"/>
      <c r="P51" s="546"/>
    </row>
    <row r="52" spans="1:16" s="510" customFormat="1" ht="35" customHeight="1" x14ac:dyDescent="0.3">
      <c r="A52" s="524"/>
      <c r="B52" s="749"/>
      <c r="C52" s="768">
        <v>2</v>
      </c>
      <c r="D52" s="508" t="s">
        <v>25</v>
      </c>
      <c r="E52" s="750" t="str">
        <f>IF(VLOOKUP(CONCATENATE($C$2,"-",$D52),Languages!$A:$D,1,TRUE)=CONCATENATE($C$2,"-",$D52),VLOOKUP(CONCATENATE($C$2,"-",$D52),Languages!$A:$D,Kybermittari!$C$7,TRUE),NA())</f>
        <v>Uhkien ja haavoittuvuuksien hallinnan (THREAT) osioon liittyen on määritetty dokumentoidut käytännöt, joita noudatetaan ja pidetään yllä.</v>
      </c>
      <c r="F52" s="750"/>
      <c r="G52" s="750"/>
      <c r="H52" s="493">
        <f>IFERROR(INT(LEFT($I52,1)),0)</f>
        <v>0</v>
      </c>
      <c r="I52" s="54"/>
      <c r="J52" s="527"/>
      <c r="K52" s="509"/>
      <c r="L52" s="483"/>
      <c r="M52" s="545"/>
      <c r="N52" s="523"/>
      <c r="O52" s="495"/>
      <c r="P52" s="495"/>
    </row>
    <row r="53" spans="1:16" s="510" customFormat="1" ht="35" customHeight="1" x14ac:dyDescent="0.3">
      <c r="A53" s="524"/>
      <c r="B53" s="749"/>
      <c r="C53" s="768"/>
      <c r="D53" s="508" t="s">
        <v>26</v>
      </c>
      <c r="E53" s="750" t="str">
        <f>IF(VLOOKUP(CONCATENATE($C$2,"-",$D53),Languages!$A:$D,1,TRUE)=CONCATENATE($C$2,"-",$D53),VLOOKUP(CONCATENATE($C$2,"-",$D53),Languages!$A:$D,Kybermittari!$C$7,TRUE),NA())</f>
        <v>Uhkien ja haavoittuvuuksien hallinnan (THREAT) osion toimintaan on saatavilla riittävät resurssit (henkilöstö, rahoitus ja työkalut).</v>
      </c>
      <c r="F53" s="750"/>
      <c r="G53" s="750"/>
      <c r="H53" s="493">
        <f>IFERROR(INT(LEFT($I53,1)),0)</f>
        <v>0</v>
      </c>
      <c r="I53" s="54"/>
      <c r="J53" s="527"/>
      <c r="K53" s="509"/>
      <c r="L53" s="524"/>
      <c r="M53" s="545"/>
      <c r="N53" s="524"/>
      <c r="O53" s="495"/>
      <c r="P53" s="495"/>
    </row>
    <row r="54" spans="1:16" s="510" customFormat="1" ht="35" customHeight="1" x14ac:dyDescent="0.3">
      <c r="A54" s="524"/>
      <c r="B54" s="749"/>
      <c r="C54" s="768"/>
      <c r="D54" s="508" t="s">
        <v>27</v>
      </c>
      <c r="E54" s="750" t="str">
        <f>IF(VLOOKUP(CONCATENATE($C$2,"-",$D54),Languages!$A:$D,1,TRUE)=CONCATENATE($C$2,"-",$D54),VLOOKUP(CONCATENATE($C$2,"-",$D54),Languages!$A:$D,Kybermittari!$C$7,TRUE),NA())</f>
        <v>Uhkien ja haavoittuvuuksien hallinnan (THREAT) osion toimintaa suorittavilla työntekijöillä on riittävät tiedot ja taidot tehtäviensä suorittamiseen.</v>
      </c>
      <c r="F54" s="750"/>
      <c r="G54" s="750"/>
      <c r="H54" s="493">
        <f>IFERROR(INT(LEFT($I54,1)),0)</f>
        <v>0</v>
      </c>
      <c r="I54" s="54"/>
      <c r="J54" s="527"/>
      <c r="K54" s="509"/>
      <c r="L54" s="524"/>
      <c r="M54" s="545"/>
      <c r="N54" s="524"/>
      <c r="O54" s="495"/>
      <c r="P54" s="495"/>
    </row>
    <row r="55" spans="1:16" s="510" customFormat="1" ht="47" customHeight="1" x14ac:dyDescent="0.3">
      <c r="A55" s="524"/>
      <c r="B55" s="749"/>
      <c r="C55" s="768"/>
      <c r="D55" s="508" t="s">
        <v>28</v>
      </c>
      <c r="E55" s="750" t="str">
        <f>IF(VLOOKUP(CONCATENATE($C$2,"-",$D55),Languages!$A:$D,1,TRUE)=CONCATENATE($C$2,"-",$D55),VLOOKUP(CONCATENATE($C$2,"-",$D55),Languages!$A:$D,Kybermittari!$C$7,TRUE),NA())</f>
        <v>Uhkien ja haavoittuvuuksien hallinnan (THREAT) osion toiminnan suorittamiseen liittyvät vastuut ja valtuudet on osoitettu nimetyille työntekijöille.</v>
      </c>
      <c r="F55" s="750"/>
      <c r="G55" s="750"/>
      <c r="H55" s="493">
        <f>IFERROR(INT(LEFT($I55,1)),0)</f>
        <v>0</v>
      </c>
      <c r="I55" s="54"/>
      <c r="J55" s="527"/>
      <c r="K55" s="509"/>
      <c r="L55" s="524"/>
      <c r="M55" s="545"/>
      <c r="N55" s="524"/>
      <c r="O55" s="495"/>
      <c r="P55" s="495"/>
    </row>
    <row r="56" spans="1:16" s="510" customFormat="1" ht="10" customHeight="1" x14ac:dyDescent="0.3">
      <c r="A56" s="524"/>
      <c r="B56" s="511"/>
      <c r="C56" s="565"/>
      <c r="D56" s="513"/>
      <c r="E56" s="501"/>
      <c r="F56" s="501"/>
      <c r="G56" s="501"/>
      <c r="H56" s="499"/>
      <c r="I56" s="502"/>
      <c r="J56" s="514"/>
      <c r="K56" s="509"/>
      <c r="L56" s="524"/>
      <c r="M56" s="545"/>
      <c r="N56" s="524"/>
      <c r="O56" s="495"/>
      <c r="P56" s="495"/>
    </row>
    <row r="57" spans="1:16" s="510" customFormat="1" ht="60" customHeight="1" x14ac:dyDescent="0.3">
      <c r="A57" s="524"/>
      <c r="B57" s="749"/>
      <c r="C57" s="768">
        <v>3</v>
      </c>
      <c r="D57" s="508" t="s">
        <v>29</v>
      </c>
      <c r="E57" s="750" t="str">
        <f>IF(VLOOKUP(CONCATENATE($C$2,"-",$D57),Languages!$A:$D,1,TRUE)=CONCATENATE($C$2,"-",$D57),VLOOKUP(CONCATENATE($C$2,"-",$D57),Languages!$A:$D,Kybermittari!$C$7,TRUE),NA())</f>
        <v>Uhkien ja haavoittuvuuksien hallinnan (THREAT) osion toiminta perustuu organisaation määrittämään ja ylläpitämään johtotason politiikkaan (tai vastaavaan ohjeistukseen), jossa asetetaan nimenomaisia vaatimuksia tämän osion toiminnalle.</v>
      </c>
      <c r="F57" s="750"/>
      <c r="G57" s="750"/>
      <c r="H57" s="493">
        <f>IFERROR(INT(LEFT($I57,1)),0)</f>
        <v>0</v>
      </c>
      <c r="I57" s="54"/>
      <c r="J57" s="527"/>
      <c r="K57" s="509"/>
      <c r="L57" s="524"/>
      <c r="M57" s="545"/>
      <c r="N57" s="524"/>
      <c r="O57" s="495"/>
      <c r="P57" s="495"/>
    </row>
    <row r="58" spans="1:16" s="510" customFormat="1" ht="47" customHeight="1" x14ac:dyDescent="0.3">
      <c r="A58" s="524"/>
      <c r="B58" s="749"/>
      <c r="C58" s="768"/>
      <c r="D58" s="508" t="s">
        <v>30</v>
      </c>
      <c r="E58" s="750" t="str">
        <f>IF(VLOOKUP(CONCATENATE($C$2,"-",$D58),Languages!$A:$D,1,TRUE)=CONCATENATE($C$2,"-",$D58),VLOOKUP(CONCATENATE($C$2,"-",$D58),Languages!$A:$D,Kybermittari!$C$7,TRUE),NA())</f>
        <v>Uhkien ja haavoittuvuuksien hallinnan (THREAT) osion toiminnalle on määritetty suoriutumistavoitteet, joiden toteutumista seurataan [kts. PROGRAM-1b].</v>
      </c>
      <c r="F58" s="750"/>
      <c r="G58" s="750"/>
      <c r="H58" s="493">
        <f>IFERROR(INT(LEFT($I58,1)),0)</f>
        <v>0</v>
      </c>
      <c r="I58" s="54"/>
      <c r="J58" s="527"/>
      <c r="K58" s="509"/>
      <c r="L58" s="524"/>
      <c r="M58" s="545"/>
      <c r="N58" s="524"/>
      <c r="O58" s="495"/>
      <c r="P58" s="495"/>
    </row>
    <row r="59" spans="1:16" s="510" customFormat="1" ht="35" customHeight="1" x14ac:dyDescent="0.3">
      <c r="A59" s="524"/>
      <c r="B59" s="749"/>
      <c r="C59" s="768"/>
      <c r="D59" s="508" t="s">
        <v>31</v>
      </c>
      <c r="E59" s="750" t="str">
        <f>IF(VLOOKUP(CONCATENATE($C$2,"-",$D59),Languages!$A:$D,1,TRUE)=CONCATENATE($C$2,"-",$D59),VLOOKUP(CONCATENATE($C$2,"-",$D59),Languages!$A:$D,Kybermittari!$C$7,TRUE),NA())</f>
        <v>Uhkien ja haavoittuvuuksien hallinnan (THREAT) osioon liittyvät käytännöt on standardoitu läpi koko organisaation ja niitä kehitetään aktiivisesti.</v>
      </c>
      <c r="F59" s="750"/>
      <c r="G59" s="750"/>
      <c r="H59" s="493">
        <f>IFERROR(INT(LEFT($I59,1)),0)</f>
        <v>0</v>
      </c>
      <c r="I59" s="54"/>
      <c r="J59" s="527"/>
      <c r="K59" s="509"/>
      <c r="L59" s="524"/>
      <c r="M59" s="545"/>
      <c r="N59" s="524"/>
      <c r="O59" s="495"/>
      <c r="P59" s="495"/>
    </row>
    <row r="60" spans="1:16" x14ac:dyDescent="0.25">
      <c r="A60" s="347"/>
      <c r="B60" s="619"/>
      <c r="C60" s="620"/>
      <c r="D60" s="621"/>
      <c r="E60" s="622"/>
      <c r="F60" s="622"/>
      <c r="G60" s="622"/>
      <c r="H60" s="623"/>
      <c r="I60" s="624"/>
      <c r="J60" s="625"/>
      <c r="K60" s="626"/>
      <c r="L60" s="347"/>
      <c r="M60" s="533"/>
      <c r="N60" s="347"/>
    </row>
    <row r="61" spans="1:16" x14ac:dyDescent="0.25">
      <c r="A61" s="347"/>
      <c r="B61" s="347"/>
      <c r="C61" s="347"/>
      <c r="D61" s="347"/>
      <c r="E61" s="347"/>
      <c r="F61" s="347"/>
      <c r="G61" s="347"/>
      <c r="H61" s="627"/>
      <c r="I61" s="347"/>
      <c r="J61" s="347"/>
      <c r="K61" s="347"/>
      <c r="L61" s="347"/>
      <c r="M61" s="533"/>
      <c r="N61" s="347"/>
    </row>
    <row r="62" spans="1:16" x14ac:dyDescent="0.25">
      <c r="L62" s="631"/>
      <c r="M62" s="630"/>
      <c r="N62" s="349"/>
    </row>
    <row r="63" spans="1:16" x14ac:dyDescent="0.25">
      <c r="L63" s="631"/>
      <c r="M63" s="630"/>
      <c r="N63" s="349"/>
    </row>
  </sheetData>
  <sheetProtection sheet="1" objects="1" scenarios="1"/>
  <mergeCells count="51">
    <mergeCell ref="C31:C34"/>
    <mergeCell ref="C22:C26"/>
    <mergeCell ref="C17:C20"/>
    <mergeCell ref="C13:C15"/>
    <mergeCell ref="C5:J5"/>
    <mergeCell ref="E24:G24"/>
    <mergeCell ref="E25:G25"/>
    <mergeCell ref="E34:G34"/>
    <mergeCell ref="C28:J28"/>
    <mergeCell ref="C10:J10"/>
    <mergeCell ref="C47:J47"/>
    <mergeCell ref="B52:B55"/>
    <mergeCell ref="C52:C55"/>
    <mergeCell ref="E52:G52"/>
    <mergeCell ref="E53:G53"/>
    <mergeCell ref="E54:G54"/>
    <mergeCell ref="E55:G55"/>
    <mergeCell ref="B57:B59"/>
    <mergeCell ref="C57:C59"/>
    <mergeCell ref="E57:G57"/>
    <mergeCell ref="E58:G58"/>
    <mergeCell ref="E59:G59"/>
    <mergeCell ref="B31:B32"/>
    <mergeCell ref="E31:G31"/>
    <mergeCell ref="E32:G32"/>
    <mergeCell ref="B33:B45"/>
    <mergeCell ref="E33:G33"/>
    <mergeCell ref="E44:G44"/>
    <mergeCell ref="E45:G45"/>
    <mergeCell ref="C42:C45"/>
    <mergeCell ref="C36:C40"/>
    <mergeCell ref="E36:G36"/>
    <mergeCell ref="E37:G37"/>
    <mergeCell ref="E38:G38"/>
    <mergeCell ref="E39:G39"/>
    <mergeCell ref="E40:G40"/>
    <mergeCell ref="E42:G42"/>
    <mergeCell ref="E43:G43"/>
    <mergeCell ref="B20:B26"/>
    <mergeCell ref="E20:G20"/>
    <mergeCell ref="E22:G22"/>
    <mergeCell ref="E23:G23"/>
    <mergeCell ref="E26:G26"/>
    <mergeCell ref="B13:B14"/>
    <mergeCell ref="E13:G13"/>
    <mergeCell ref="E14:G14"/>
    <mergeCell ref="B15:B19"/>
    <mergeCell ref="E15:G15"/>
    <mergeCell ref="E17:G17"/>
    <mergeCell ref="E18:G18"/>
    <mergeCell ref="E19:G19"/>
  </mergeCells>
  <conditionalFormatting sqref="H50">
    <cfRule type="containsText" dxfId="59" priority="5" operator="containsText" text="0">
      <formula>NOT(ISERROR(SEARCH("0",H50)))</formula>
    </cfRule>
  </conditionalFormatting>
  <conditionalFormatting sqref="H1:H1048576">
    <cfRule type="containsText" dxfId="58"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76FB6613-1913-4181-ABBA-B090D95D214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H50</xm:sqref>
        </x14:conditionalFormatting>
        <x14:conditionalFormatting xmlns:xm="http://schemas.microsoft.com/office/excel/2006/main">
          <x14:cfRule type="iconSet" priority="4" id="{095DB739-B76E-4A8E-BFAE-D5896F62EB0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I13:I15 I17:I20 I22:I26 I31:I34 I36:I40 I42:I45 I52:I55 I57:I59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67"/>
  <sheetViews>
    <sheetView showGridLines="0" zoomScaleNormal="100" workbookViewId="0">
      <selection activeCell="I14" sqref="I14"/>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72</v>
      </c>
      <c r="D2" s="591"/>
      <c r="E2" s="592"/>
      <c r="F2" s="592"/>
      <c r="G2" s="592"/>
      <c r="H2" s="593"/>
      <c r="I2" s="593"/>
      <c r="J2" s="594"/>
      <c r="K2" s="595"/>
      <c r="L2" s="332"/>
      <c r="M2" s="533"/>
      <c r="N2" s="332"/>
      <c r="O2" s="341"/>
      <c r="P2" s="341"/>
    </row>
    <row r="3" spans="1:16" s="598" customFormat="1" ht="25" customHeight="1" x14ac:dyDescent="0.35">
      <c r="A3" s="596"/>
      <c r="B3" s="597"/>
      <c r="C3" s="321" t="str">
        <f>IF(VLOOKUP($C$2,Languages!$A:$D,1,TRUE)=$C$2,VLOOKUP($C$2,Languages!$A:$D,Kybermittari!$C$7,TRUE),NA())</f>
        <v>Tilannekuva</v>
      </c>
      <c r="D3" s="449"/>
      <c r="E3" s="450"/>
      <c r="G3" s="599"/>
      <c r="H3" s="600"/>
      <c r="I3" s="600"/>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66" customHeight="1" x14ac:dyDescent="0.25">
      <c r="A5" s="344"/>
      <c r="B5" s="532"/>
      <c r="C5" s="758" t="str">
        <f>IF(VLOOKUP(CONCATENATE(C2,"-0"),Languages!$A:$D,1,TRUE)=CONCATENATE(C2,"-0"),VLOOKUP(CONCATENATE(C2,"-0"),Languages!$A:$D,Kybermittari!$C$7,TRUE),NA())</f>
        <v>Tilannekuvan osiossa arvioidaan organisaation kykyä määritellä ja ylläpitää organisaation kyberturvallisuuden tilannekuvaa. Organisaation tulee määritellä ja ylläpitää prosesseja ja teknisiä ratkaisuja operatiivisen ja kyberturvallisuustiedon keräämiseen, analysointiin, hälytysten nostamiseen, esittämiseen ja käyttämiseen, hyödyntäen muissa Kybermittarin osioissa mainittua informaatiota. Tilannekuva muodostetaan sekä organisaation toiminnan, että kyberturvallisuuden tasosta.</v>
      </c>
      <c r="D5" s="758"/>
      <c r="E5" s="758"/>
      <c r="F5" s="758"/>
      <c r="G5" s="758"/>
      <c r="H5" s="758"/>
      <c r="I5" s="758"/>
      <c r="J5" s="758"/>
      <c r="K5" s="356"/>
      <c r="L5" s="344"/>
      <c r="M5" s="533"/>
      <c r="N5" s="344"/>
    </row>
    <row r="6" spans="1:16" ht="14.5" x14ac:dyDescent="0.25">
      <c r="A6" s="344"/>
      <c r="B6" s="532"/>
      <c r="C6" s="456">
        <v>1</v>
      </c>
      <c r="D6" s="457" t="s">
        <v>2</v>
      </c>
      <c r="E6" s="458" t="str">
        <f>IF(VLOOKUP(CONCATENATE($C$2,"-",C6),Languages!$A:$D,1,TRUE)=CONCATENATE($C$2,"-",C6),VLOOKUP(CONCATENATE($C$2,"-",C6),Languages!$A:$D,Kybermittari!$C$7,TRUE),NA())</f>
        <v>Lokituksen toteuttaminen</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Monitoroinnin toteuttaminen</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Tilannekuvan muodostaminen</v>
      </c>
      <c r="F8" s="607"/>
      <c r="G8" s="386"/>
      <c r="H8" s="610"/>
      <c r="I8" s="459" t="str">
        <f ca="1">VLOOKUP(VLOOKUP(CONCATENATE($C$2,"-",$C8),Data!$K:$O,5,FALSE),Parameters!$C$7:$F$10,Kybermittari!$C$7,FALSE)</f>
        <v>Kypsyystaso 1</v>
      </c>
      <c r="J8" s="611"/>
      <c r="K8" s="356"/>
      <c r="L8" s="344"/>
      <c r="M8" s="533"/>
      <c r="N8" s="344"/>
    </row>
    <row r="9" spans="1:16" ht="14.5" x14ac:dyDescent="0.25">
      <c r="A9" s="344"/>
      <c r="B9" s="532"/>
      <c r="C9" s="456">
        <v>4</v>
      </c>
      <c r="D9" s="457" t="s">
        <v>2</v>
      </c>
      <c r="E9" s="458" t="str">
        <f>IF(VLOOKUP(CONCATENATE($C$2,"-",C9),Languages!$A:$D,1,TRUE)=CONCATENATE($C$2,"-",C9),VLOOKUP(CONCATENATE($C$2,"-",C9),Languages!$A:$D,Kybermittari!$C$7,TRUE),NA())</f>
        <v>Yleisiä hallintatoimia</v>
      </c>
      <c r="F9" s="607"/>
      <c r="G9" s="386"/>
      <c r="H9" s="633"/>
      <c r="I9" s="459" t="str">
        <f ca="1">VLOOKUP(VLOOKUP(CONCATENATE($C$2,"-",$C9),Data!$K:$O,5,FALSE),Parameters!$C$7:$F$10,Kybermittari!$C$7,FALSE)</f>
        <v>Kypsyystaso 1</v>
      </c>
      <c r="J9" s="611"/>
      <c r="K9" s="356"/>
      <c r="L9" s="344"/>
      <c r="M9" s="533"/>
      <c r="N9" s="344"/>
    </row>
    <row r="10" spans="1:16" s="343" customFormat="1" ht="30" customHeight="1" x14ac:dyDescent="0.25">
      <c r="A10" s="332"/>
      <c r="B10" s="461"/>
      <c r="C10" s="336">
        <v>1</v>
      </c>
      <c r="D10" s="336" t="str">
        <f>IF(VLOOKUP(CONCATENATE($C$2,"-",C10),Languages!$A:$D,1,TRUE)=CONCATENATE($C$2,"-",C10),VLOOKUP(CONCATENATE($C$2,"-",C10),Languages!$A:$D,Kybermittari!$C$7,TRUE),NA())</f>
        <v>Lokituksen toteuttaminen</v>
      </c>
      <c r="E10" s="336"/>
      <c r="F10" s="463"/>
      <c r="G10" s="463"/>
      <c r="H10" s="464"/>
      <c r="I10" s="464"/>
      <c r="J10" s="465"/>
      <c r="K10" s="466"/>
      <c r="L10" s="467"/>
      <c r="M10" s="533"/>
      <c r="N10" s="332"/>
      <c r="O10" s="341"/>
      <c r="P10" s="341"/>
    </row>
    <row r="11" spans="1:16" s="475" customFormat="1" ht="33.5" customHeight="1" x14ac:dyDescent="0.3">
      <c r="A11" s="469"/>
      <c r="B11" s="470"/>
      <c r="C11" s="753" t="str">
        <f>IF(VLOOKUP(CONCATENATE($C$2,"-",$C10,"-0"),Languages!$A:$D,1,TRUE)=CONCATENATE($C$2,"-",$C10,"-0"),VLOOKUP(CONCATENATE($C$2,"-",$C10,"-0"),Languages!$A:$D,Kybermittari!$C$7,TRUE),NA())</f>
        <v xml:space="preserve">Lokitus tulee ottaa käyttöön suojattavien kohteiden kriittisyyden perusteella. Esimerkiksi siten, että mitä suurempi potentiaalinen vaikutus vaarantuneella suojattavalla kohteella on, sitä enemmän tietoja organisaation tulisi kerätä tästä suojattavasta kohteesta. </v>
      </c>
      <c r="D11" s="753"/>
      <c r="E11" s="753"/>
      <c r="F11" s="753"/>
      <c r="G11" s="753"/>
      <c r="H11" s="753"/>
      <c r="I11" s="753"/>
      <c r="J11" s="753"/>
      <c r="K11" s="471"/>
      <c r="L11" s="469"/>
      <c r="M11" s="545"/>
      <c r="N11" s="469"/>
      <c r="O11" s="473"/>
      <c r="P11" s="473"/>
    </row>
    <row r="12" spans="1:16" s="547" customFormat="1" ht="20" customHeight="1" x14ac:dyDescent="0.3">
      <c r="A12" s="483"/>
      <c r="B12" s="476"/>
      <c r="C12" s="477" t="str">
        <f>IF(VLOOKUP("GEN-LEVEL",Languages!$A:$D,1,TRUE)="GEN-LEVEL",VLOOKUP("GEN-LEVEL",Languages!$A:$D,Kybermittari!$C$7,TRUE),NA())</f>
        <v>Taso</v>
      </c>
      <c r="D12" s="477"/>
      <c r="E12" s="478" t="str">
        <f>IF(VLOOKUP("GEN-PRACTICE",Languages!$A:$D,1,TRUE)="GEN-PRACTICE",VLOOKUP("GEN-PRACTICE",Languages!$A:$D,Kybermittari!$C$7,TRUE),NA())</f>
        <v>Käytäntö</v>
      </c>
      <c r="F12" s="479"/>
      <c r="G12" s="480"/>
      <c r="H12" s="481"/>
      <c r="I12" s="478" t="str">
        <f>IF(VLOOKUP("GEN-ANSWER",Languages!$A:$D,1,TRUE)="GEN-ANSWER",VLOOKUP("GEN-ANSWER",Languages!$A:$D,Kybermittari!$C$7,TRUE),NA())</f>
        <v>Vastaus</v>
      </c>
      <c r="J12" s="480" t="str">
        <f>IF(VLOOKUP("GEN-COMMENT",Languages!$A:$D,1,TRUE)="GEN-COMMENT",VLOOKUP("GEN-COMMENT",Languages!$A:$D,Kybermittari!$C$7,TRUE),NA())</f>
        <v>Kommentti ja viittaukset</v>
      </c>
      <c r="K12" s="482"/>
      <c r="L12" s="483"/>
      <c r="M12" s="545"/>
      <c r="N12" s="483"/>
      <c r="O12" s="546"/>
      <c r="P12" s="546"/>
    </row>
    <row r="13" spans="1:16" s="547" customFormat="1" ht="10" customHeight="1" x14ac:dyDescent="0.3">
      <c r="A13" s="483"/>
      <c r="B13" s="476"/>
      <c r="C13" s="487"/>
      <c r="D13" s="487"/>
      <c r="E13" s="488"/>
      <c r="F13" s="489"/>
      <c r="G13" s="490"/>
      <c r="H13" s="491"/>
      <c r="I13" s="488"/>
      <c r="J13" s="490"/>
      <c r="K13" s="482"/>
      <c r="L13" s="483"/>
      <c r="M13" s="545"/>
      <c r="N13" s="483"/>
      <c r="O13" s="546"/>
      <c r="P13" s="546"/>
    </row>
    <row r="14" spans="1:16" s="495" customFormat="1" ht="35" customHeight="1" x14ac:dyDescent="0.3">
      <c r="A14" s="469"/>
      <c r="B14" s="757"/>
      <c r="C14" s="635">
        <v>1</v>
      </c>
      <c r="D14" s="492" t="s">
        <v>7</v>
      </c>
      <c r="E14" s="750" t="str">
        <f>IF(VLOOKUP(CONCATENATE($C$2,"-",$D14),Languages!$A:$D,1,TRUE)=CONCATENATE($C$2,"-",$D14),VLOOKUP(CONCATENATE($C$2,"-",$D14),Languages!$A:$D,Kybermittari!$C$7,TRUE),NA())</f>
        <v>Toiminnalle tärkeistä suojattavista kohteista kerätään lokeja silloin, kun se on kustannustehokasta - ja ainakin tapauskohtaisesti.</v>
      </c>
      <c r="F14" s="750"/>
      <c r="G14" s="750"/>
      <c r="H14" s="493">
        <f t="shared" ref="H14" si="0">IFERROR(INT(LEFT($I14,1)),0)</f>
        <v>0</v>
      </c>
      <c r="I14" s="54"/>
      <c r="J14" s="526"/>
      <c r="K14" s="494"/>
      <c r="L14" s="483"/>
      <c r="M14" s="545"/>
      <c r="N14" s="483"/>
    </row>
    <row r="15" spans="1:16" s="495" customFormat="1" ht="10" customHeight="1" x14ac:dyDescent="0.3">
      <c r="A15" s="469"/>
      <c r="B15" s="757"/>
      <c r="C15" s="498"/>
      <c r="D15" s="499"/>
      <c r="E15" s="501"/>
      <c r="F15" s="501"/>
      <c r="G15" s="501"/>
      <c r="H15" s="499"/>
      <c r="I15" s="502"/>
      <c r="J15" s="502"/>
      <c r="K15" s="494"/>
      <c r="L15" s="483"/>
      <c r="M15" s="545"/>
      <c r="N15" s="483"/>
    </row>
    <row r="16" spans="1:16" s="495" customFormat="1" ht="35" customHeight="1" x14ac:dyDescent="0.3">
      <c r="A16" s="469"/>
      <c r="B16" s="757"/>
      <c r="C16" s="759">
        <v>2</v>
      </c>
      <c r="D16" s="492" t="s">
        <v>9</v>
      </c>
      <c r="E16" s="750" t="str">
        <f>IF(VLOOKUP(CONCATENATE($C$2,"-",$D16),Languages!$A:$D,1,TRUE)=CONCATENATE($C$2,"-",$D16),VLOOKUP(CONCATENATE($C$2,"-",$D16),Languages!$A:$D,Kybermittari!$C$7,TRUE),NA())</f>
        <v>Lokitusvaatimukset on määritelty kaikille toiminnan osa-alueen toimintavarmuuden kannalta tärkeille suojattaville kohteille.</v>
      </c>
      <c r="F16" s="750"/>
      <c r="G16" s="750"/>
      <c r="H16" s="493">
        <f>IFERROR(INT(LEFT($I16,1)),0)</f>
        <v>0</v>
      </c>
      <c r="I16" s="54"/>
      <c r="J16" s="526"/>
      <c r="K16" s="494"/>
      <c r="L16" s="469"/>
      <c r="M16" s="545"/>
      <c r="N16" s="469"/>
    </row>
    <row r="17" spans="1:16" s="495" customFormat="1" ht="35" customHeight="1" x14ac:dyDescent="0.3">
      <c r="A17" s="469"/>
      <c r="B17" s="757"/>
      <c r="C17" s="761"/>
      <c r="D17" s="492" t="s">
        <v>10</v>
      </c>
      <c r="E17" s="750" t="str">
        <f>IF(VLOOKUP(CONCATENATE($C$2,"-",$D17),Languages!$A:$D,1,TRUE)=CONCATENATE($C$2,"-",$D17),VLOOKUP(CONCATENATE($C$2,"-",$D17),Languages!$A:$D,Kybermittari!$C$7,TRUE),NA())</f>
        <v>Lokit kerätään keskitetysti.</v>
      </c>
      <c r="F17" s="750"/>
      <c r="G17" s="750"/>
      <c r="H17" s="493">
        <f>IFERROR(INT(LEFT($I17,1)),0)</f>
        <v>0</v>
      </c>
      <c r="I17" s="54"/>
      <c r="J17" s="526"/>
      <c r="K17" s="494"/>
      <c r="L17" s="469"/>
      <c r="M17" s="545"/>
      <c r="N17" s="469"/>
    </row>
    <row r="18" spans="1:16" s="495" customFormat="1" ht="10" customHeight="1" x14ac:dyDescent="0.3">
      <c r="A18" s="469"/>
      <c r="B18" s="757"/>
      <c r="C18" s="498"/>
      <c r="D18" s="499"/>
      <c r="E18" s="501"/>
      <c r="F18" s="501"/>
      <c r="G18" s="501"/>
      <c r="H18" s="499"/>
      <c r="I18" s="502"/>
      <c r="J18" s="502"/>
      <c r="K18" s="494"/>
      <c r="L18" s="469"/>
      <c r="M18" s="545"/>
      <c r="N18" s="469"/>
    </row>
    <row r="19" spans="1:16" s="495" customFormat="1" ht="35" customHeight="1" x14ac:dyDescent="0.3">
      <c r="A19" s="469"/>
      <c r="B19" s="757"/>
      <c r="C19" s="635">
        <v>3</v>
      </c>
      <c r="D19" s="492" t="s">
        <v>11</v>
      </c>
      <c r="E19" s="756" t="str">
        <f>IF(VLOOKUP(CONCATENATE($C$2,"-",$D19),Languages!$A:$D,1,TRUE)=CONCATENATE($C$2,"-",$D19),VLOOKUP(CONCATENATE($C$2,"-",$D19),Languages!$A:$D,Kybermittari!$C$7,TRUE),NA())</f>
        <v>Lokitusvaatimukset on määritelty riskiperustaisesti (esim. tarkempi lokitus riskialttiille suojattaville kohteille).</v>
      </c>
      <c r="F19" s="756"/>
      <c r="G19" s="756"/>
      <c r="H19" s="493">
        <f>IFERROR(INT(LEFT($I19,1)),0)</f>
        <v>0</v>
      </c>
      <c r="I19" s="54"/>
      <c r="J19" s="526"/>
      <c r="K19" s="494"/>
      <c r="L19" s="549"/>
      <c r="M19" s="545"/>
      <c r="N19" s="549"/>
    </row>
    <row r="20" spans="1:16" s="343" customFormat="1" ht="30" customHeight="1" x14ac:dyDescent="0.25">
      <c r="A20" s="332"/>
      <c r="B20" s="461"/>
      <c r="C20" s="336">
        <v>2</v>
      </c>
      <c r="D20" s="336" t="str">
        <f>IF(VLOOKUP(CONCATENATE($C$2,"-",C20),Languages!$A:$D,1,TRUE)=CONCATENATE($C$2,"-",C20),VLOOKUP(CONCATENATE($C$2,"-",C20),Languages!$A:$D,Kybermittari!$C$7,TRUE),NA())</f>
        <v>Monitoroinnin toteuttaminen</v>
      </c>
      <c r="E20" s="336"/>
      <c r="F20" s="506"/>
      <c r="G20" s="506"/>
      <c r="H20" s="506"/>
      <c r="I20" s="506" t="s">
        <v>19</v>
      </c>
      <c r="J20" s="507"/>
      <c r="K20" s="339"/>
      <c r="L20" s="344"/>
      <c r="M20" s="533"/>
      <c r="N20" s="344"/>
      <c r="O20" s="341"/>
      <c r="P20" s="341"/>
    </row>
    <row r="21" spans="1:16" s="475" customFormat="1" ht="32.5" customHeight="1" x14ac:dyDescent="0.3">
      <c r="A21" s="469"/>
      <c r="B21" s="470"/>
      <c r="C21" s="753" t="str">
        <f>IF(VLOOKUP(CONCATENATE($C$2,"-",$C20,"-0"),Languages!$A:$D,1,TRUE)=CONCATENATE($C$2,"-",$C20,"-0"),VLOOKUP(CONCATENATE($C$2,"-",$C20,"-0"),Languages!$A:$D,Kybermittari!$C$7,TRUE),NA())</f>
        <v>Organisaation tulee käyttää lokien ja muiden lähteiden kautta kerättyä tietoa saadakseen selkeän yleiskuvan operatiivisen toiminnan ja kyberturvallisuuden tilasta.</v>
      </c>
      <c r="D21" s="753"/>
      <c r="E21" s="753"/>
      <c r="F21" s="753"/>
      <c r="G21" s="753"/>
      <c r="H21" s="753"/>
      <c r="I21" s="753"/>
      <c r="J21" s="753"/>
      <c r="K21" s="471"/>
      <c r="L21" s="469"/>
      <c r="M21" s="545"/>
      <c r="N21" s="469"/>
      <c r="O21" s="473"/>
      <c r="P21" s="473"/>
    </row>
    <row r="22" spans="1:16" s="547" customFormat="1" ht="20" customHeight="1" x14ac:dyDescent="0.3">
      <c r="A22" s="483"/>
      <c r="B22" s="476"/>
      <c r="C22" s="477" t="str">
        <f>IF(VLOOKUP("GEN-LEVEL",Languages!$A:$D,1,TRUE)="GEN-LEVEL",VLOOKUP("GEN-LEVEL",Languages!$A:$D,Kybermittari!$C$7,TRUE),NA())</f>
        <v>Taso</v>
      </c>
      <c r="D22" s="477"/>
      <c r="E22" s="478" t="str">
        <f>IF(VLOOKUP("GEN-PRACTICE",Languages!$A:$D,1,TRUE)="GEN-PRACTICE",VLOOKUP("GEN-PRACTICE",Languages!$A:$D,Kybermittari!$C$7,TRUE),NA())</f>
        <v>Käytäntö</v>
      </c>
      <c r="F22" s="479"/>
      <c r="G22" s="480"/>
      <c r="H22" s="481"/>
      <c r="I22" s="478" t="str">
        <f>IF(VLOOKUP("GEN-ANSWER",Languages!$A:$D,1,TRUE)="GEN-ANSWER",VLOOKUP("GEN-ANSWER",Languages!$A:$D,Kybermittari!$C$7,TRUE),NA())</f>
        <v>Vastaus</v>
      </c>
      <c r="J22" s="480" t="str">
        <f>IF(VLOOKUP("GEN-COMMENT",Languages!$A:$D,1,TRUE)="GEN-COMMENT",VLOOKUP("GEN-COMMENT",Languages!$A:$D,Kybermittari!$C$7,TRUE),NA())</f>
        <v>Kommentti ja viittaukset</v>
      </c>
      <c r="K22" s="482"/>
      <c r="L22" s="524"/>
      <c r="M22" s="545"/>
      <c r="N22" s="524"/>
      <c r="O22" s="546"/>
      <c r="P22" s="546"/>
    </row>
    <row r="23" spans="1:16" s="547" customFormat="1" ht="10" customHeight="1" x14ac:dyDescent="0.3">
      <c r="A23" s="483"/>
      <c r="B23" s="476"/>
      <c r="C23" s="487"/>
      <c r="D23" s="487"/>
      <c r="E23" s="488"/>
      <c r="F23" s="489"/>
      <c r="G23" s="490"/>
      <c r="H23" s="491"/>
      <c r="I23" s="488"/>
      <c r="J23" s="490"/>
      <c r="K23" s="482"/>
      <c r="L23" s="524"/>
      <c r="M23" s="545"/>
      <c r="N23" s="524"/>
      <c r="O23" s="546"/>
      <c r="P23" s="546"/>
    </row>
    <row r="24" spans="1:16" s="510" customFormat="1" ht="35" customHeight="1" x14ac:dyDescent="0.3">
      <c r="A24" s="524"/>
      <c r="B24" s="749"/>
      <c r="C24" s="768">
        <v>1</v>
      </c>
      <c r="D24" s="508" t="s">
        <v>20</v>
      </c>
      <c r="E24" s="750" t="str">
        <f>IF(VLOOKUP(CONCATENATE($C$2,"-",$D24),Languages!$A:$D,1,TRUE)=CONCATENATE($C$2,"-",$D24),VLOOKUP(CONCATENATE($C$2,"-",$D24),Languages!$A:$D,Kybermittari!$C$7,TRUE),NA())</f>
        <v>Organisaatio monitoroi kyberturvallisuustoimintojaan (esim. määräajoin tapahtuva lokien katselmointi) - ainakin tapauskohtaisesti.</v>
      </c>
      <c r="F24" s="750"/>
      <c r="G24" s="750"/>
      <c r="H24" s="493">
        <f>IFERROR(INT(LEFT($I24,1)),0)</f>
        <v>0</v>
      </c>
      <c r="I24" s="54"/>
      <c r="J24" s="526"/>
      <c r="K24" s="509"/>
      <c r="L24" s="524"/>
      <c r="M24" s="545"/>
      <c r="N24" s="524"/>
      <c r="O24" s="495"/>
      <c r="P24" s="495"/>
    </row>
    <row r="25" spans="1:16" s="510" customFormat="1" ht="47.5" customHeight="1" x14ac:dyDescent="0.3">
      <c r="A25" s="524"/>
      <c r="B25" s="749"/>
      <c r="C25" s="768"/>
      <c r="D25" s="508" t="s">
        <v>21</v>
      </c>
      <c r="E25" s="750" t="str">
        <f>IF(VLOOKUP(CONCATENATE($C$2,"-",$D25),Languages!$A:$D,1,TRUE)=CONCATENATE($C$2,"-",$D25),VLOOKUP(CONCATENATE($C$2,"-",$D25),Languages!$A:$D,Kybermittari!$C$7,TRUE),NA())</f>
        <v>Tuotantoympäristöjä monitoroidaan poikkeamien ja poikkeavan käytöksen varalta (jotka voivat antaa viitteitä kyberturvallisuuden kannalta merkittävistä tapahtumista) - ainakin tapauskohtaisesti.</v>
      </c>
      <c r="F25" s="750"/>
      <c r="G25" s="750"/>
      <c r="H25" s="493">
        <f>IFERROR(INT(LEFT($I25,1)),0)</f>
        <v>0</v>
      </c>
      <c r="I25" s="54"/>
      <c r="J25" s="527"/>
      <c r="K25" s="509"/>
      <c r="L25" s="524"/>
      <c r="M25" s="545"/>
      <c r="N25" s="524"/>
      <c r="O25" s="495"/>
      <c r="P25" s="495"/>
    </row>
    <row r="26" spans="1:16" s="510" customFormat="1" ht="10" customHeight="1" x14ac:dyDescent="0.3">
      <c r="A26" s="524"/>
      <c r="B26" s="511"/>
      <c r="C26" s="565"/>
      <c r="D26" s="513"/>
      <c r="E26" s="501"/>
      <c r="F26" s="501"/>
      <c r="G26" s="501"/>
      <c r="H26" s="499"/>
      <c r="I26" s="502"/>
      <c r="J26" s="514"/>
      <c r="K26" s="509"/>
      <c r="L26" s="524"/>
      <c r="M26" s="545"/>
      <c r="N26" s="524"/>
      <c r="O26" s="495"/>
      <c r="P26" s="495"/>
    </row>
    <row r="27" spans="1:16" s="510" customFormat="1" ht="35" customHeight="1" x14ac:dyDescent="0.3">
      <c r="A27" s="524"/>
      <c r="B27" s="749"/>
      <c r="C27" s="768">
        <v>2</v>
      </c>
      <c r="D27" s="508" t="s">
        <v>22</v>
      </c>
      <c r="E27" s="750" t="str">
        <f>IF(VLOOKUP(CONCATENATE($C$2,"-",$D27),Languages!$A:$D,1,TRUE)=CONCATENATE($C$2,"-",$D27),VLOOKUP(CONCATENATE($C$2,"-",$D27),Languages!$A:$D,Kybermittari!$C$7,TRUE),NA())</f>
        <v>Monitoroinnille ja analysoinnille on asetettu vaatimukset, joita ylläpidetään ja joissa edellytetään tapahtumatiedon oikea-aikaista käsittelyä.</v>
      </c>
      <c r="F27" s="750"/>
      <c r="G27" s="750"/>
      <c r="H27" s="493">
        <f>IFERROR(INT(LEFT($I27,1)),0)</f>
        <v>0</v>
      </c>
      <c r="I27" s="54"/>
      <c r="J27" s="527"/>
      <c r="K27" s="509"/>
      <c r="L27" s="524"/>
      <c r="M27" s="545"/>
      <c r="N27" s="524"/>
      <c r="O27" s="495"/>
      <c r="P27" s="495"/>
    </row>
    <row r="28" spans="1:16" s="510" customFormat="1" ht="60.5" customHeight="1" x14ac:dyDescent="0.3">
      <c r="A28" s="524"/>
      <c r="B28" s="749"/>
      <c r="C28" s="768"/>
      <c r="D28" s="508" t="s">
        <v>23</v>
      </c>
      <c r="E28" s="750" t="str">
        <f>IF(VLOOKUP(CONCATENATE($C$2,"-",$D28),Languages!$A:$D,1,TRUE)=CONCATENATE($C$2,"-",$D28),VLOOKUP(CONCATENATE($C$2,"-",$D28),Languages!$A:$D,Kybermittari!$C$7,TRUE),NA())</f>
        <v>Poikkeamien ja poikkeavan käytöksen havaitsemiseksi järjestelmiin on asetettu indikaattorit, joita ylläpidetään ja monitoroidaan koko tuotantoympäristön laajuisesti. Indikaattorit perustuvat järjestelmien lokeihin, tietovirtoihin, kybertapahtumiin sekä järjestelmän arkkitehtuuriin.</v>
      </c>
      <c r="F28" s="750"/>
      <c r="G28" s="750"/>
      <c r="H28" s="493">
        <f>IFERROR(INT(LEFT($I28,1)),0)</f>
        <v>0</v>
      </c>
      <c r="I28" s="54"/>
      <c r="J28" s="527"/>
      <c r="K28" s="509"/>
      <c r="L28" s="524"/>
      <c r="M28" s="545"/>
      <c r="N28" s="524"/>
      <c r="O28" s="495"/>
      <c r="P28" s="495"/>
    </row>
    <row r="29" spans="1:16" s="510" customFormat="1" ht="35" customHeight="1" x14ac:dyDescent="0.3">
      <c r="A29" s="524"/>
      <c r="B29" s="749"/>
      <c r="C29" s="768"/>
      <c r="D29" s="508" t="s">
        <v>24</v>
      </c>
      <c r="E29" s="750" t="str">
        <f>IF(VLOOKUP(CONCATENATE($C$2,"-",$D29),Languages!$A:$D,1,TRUE)=CONCATENATE($C$2,"-",$D29),VLOOKUP(CONCATENATE($C$2,"-",$D29),Languages!$A:$D,Kybermittari!$C$7,TRUE),NA())</f>
        <v xml:space="preserve">Järjestelmiin on asetettu hälytysrajat auttamaan kybertapahtumien tunnistamista [kts. RESPONSE-1b]. </v>
      </c>
      <c r="F29" s="750"/>
      <c r="G29" s="750"/>
      <c r="H29" s="493">
        <f>IFERROR(INT(LEFT($I29,1)),0)</f>
        <v>0</v>
      </c>
      <c r="I29" s="54"/>
      <c r="J29" s="527"/>
      <c r="K29" s="509"/>
      <c r="L29" s="524"/>
      <c r="M29" s="545"/>
      <c r="N29" s="524"/>
      <c r="O29" s="495"/>
      <c r="P29" s="495"/>
    </row>
    <row r="30" spans="1:16" s="510" customFormat="1" ht="35" customHeight="1" x14ac:dyDescent="0.3">
      <c r="A30" s="524"/>
      <c r="B30" s="749"/>
      <c r="C30" s="768"/>
      <c r="D30" s="508" t="s">
        <v>112</v>
      </c>
      <c r="E30" s="750" t="str">
        <f>IF(VLOOKUP(CONCATENATE($C$2,"-",$D30),Languages!$A:$D,1,TRUE)=CONCATENATE($C$2,"-",$D30),VLOOKUP(CONCATENATE($C$2,"-",$D30),Languages!$A:$D,Kybermittari!$C$7,TRUE),NA())</f>
        <v>Monitorointijärjestelyt huomioivat organisaation uhkaprofiilin [kts. THREAT-1d].</v>
      </c>
      <c r="F30" s="750"/>
      <c r="G30" s="750"/>
      <c r="H30" s="493">
        <f>IFERROR(INT(LEFT($I30,1)),0)</f>
        <v>0</v>
      </c>
      <c r="I30" s="54"/>
      <c r="J30" s="527"/>
      <c r="K30" s="509"/>
      <c r="L30" s="524"/>
      <c r="M30" s="545"/>
      <c r="N30" s="524"/>
      <c r="O30" s="495"/>
      <c r="P30" s="495"/>
    </row>
    <row r="31" spans="1:16" s="510" customFormat="1" ht="10" customHeight="1" x14ac:dyDescent="0.3">
      <c r="A31" s="524"/>
      <c r="B31" s="749"/>
      <c r="C31" s="565"/>
      <c r="D31" s="513"/>
      <c r="E31" s="501"/>
      <c r="F31" s="501"/>
      <c r="G31" s="501"/>
      <c r="H31" s="499"/>
      <c r="I31" s="502"/>
      <c r="J31" s="514"/>
      <c r="K31" s="509"/>
      <c r="L31" s="524"/>
      <c r="M31" s="545"/>
      <c r="N31" s="524"/>
      <c r="O31" s="495"/>
      <c r="P31" s="495"/>
    </row>
    <row r="32" spans="1:16" s="510" customFormat="1" ht="35" customHeight="1" x14ac:dyDescent="0.3">
      <c r="A32" s="524"/>
      <c r="B32" s="749"/>
      <c r="C32" s="768">
        <v>3</v>
      </c>
      <c r="D32" s="508" t="s">
        <v>176</v>
      </c>
      <c r="E32" s="750" t="str">
        <f>IF(VLOOKUP(CONCATENATE($C$2,"-",$D32),Languages!$A:$D,1,TRUE)=CONCATENATE($C$2,"-",$D32),VLOOKUP(CONCATENATE($C$2,"-",$D32),Languages!$A:$D,Kybermittari!$C$7,TRUE),NA())</f>
        <v>Monitorointijärjestelyt huomioivat toiminnan riskit (ts. riskialttiimmat suojattavat kohteet edellyttävät tarkempaa monitorointia).</v>
      </c>
      <c r="F32" s="750"/>
      <c r="G32" s="750"/>
      <c r="H32" s="493">
        <f>IFERROR(INT(LEFT($I32,1)),0)</f>
        <v>0</v>
      </c>
      <c r="I32" s="54"/>
      <c r="J32" s="527"/>
      <c r="K32" s="509"/>
      <c r="L32" s="618"/>
      <c r="M32" s="545"/>
      <c r="N32" s="618"/>
      <c r="O32" s="495"/>
      <c r="P32" s="495"/>
    </row>
    <row r="33" spans="1:16" s="510" customFormat="1" ht="35" customHeight="1" x14ac:dyDescent="0.3">
      <c r="A33" s="524"/>
      <c r="B33" s="749"/>
      <c r="C33" s="768"/>
      <c r="D33" s="508" t="s">
        <v>178</v>
      </c>
      <c r="E33" s="750" t="str">
        <f>IF(VLOOKUP(CONCATENATE($C$2,"-",$D33),Languages!$A:$D,1,TRUE)=CONCATENATE($C$2,"-",$D33),VLOOKUP(CONCATENATE($C$2,"-",$D33),Languages!$A:$D,Kybermittari!$C$7,TRUE),NA())</f>
        <v>Koko tuotantoympäristöä monitoroidaan automaattisesti poikkeamien varalta.</v>
      </c>
      <c r="F33" s="750"/>
      <c r="G33" s="750"/>
      <c r="H33" s="493">
        <f>IFERROR(INT(LEFT($I33,1)),0)</f>
        <v>0</v>
      </c>
      <c r="I33" s="54"/>
      <c r="J33" s="527"/>
      <c r="K33" s="509"/>
      <c r="L33" s="524"/>
      <c r="M33" s="545"/>
      <c r="N33" s="524"/>
      <c r="O33" s="495"/>
      <c r="P33" s="495"/>
    </row>
    <row r="34" spans="1:16" s="510" customFormat="1" ht="35" customHeight="1" x14ac:dyDescent="0.3">
      <c r="A34" s="524"/>
      <c r="B34" s="749"/>
      <c r="C34" s="768"/>
      <c r="D34" s="508" t="s">
        <v>209</v>
      </c>
      <c r="E34" s="750" t="str">
        <f>IF(VLOOKUP(CONCATENATE($C$2,"-",$D34),Languages!$A:$D,1,TRUE)=CONCATENATE($C$2,"-",$D34),VLOOKUP(CONCATENATE($C$2,"-",$D34),Languages!$A:$D,Kybermittari!$C$7,TRUE),NA())</f>
        <v>Riskirekisterin [kts. RISK-1d] sisältöä käytetään tunnistamaan indikaattoreita, jotka viittaavat poikkeamiin tai poikkeavaan toimintaan.</v>
      </c>
      <c r="F34" s="750"/>
      <c r="G34" s="750"/>
      <c r="H34" s="493">
        <f>IFERROR(INT(LEFT($I34,1)),0)</f>
        <v>0</v>
      </c>
      <c r="I34" s="54"/>
      <c r="J34" s="527"/>
      <c r="K34" s="509"/>
      <c r="L34" s="483"/>
      <c r="M34" s="545"/>
      <c r="N34" s="523"/>
      <c r="O34" s="495"/>
      <c r="P34" s="495"/>
    </row>
    <row r="35" spans="1:16" s="510" customFormat="1" ht="35" customHeight="1" x14ac:dyDescent="0.3">
      <c r="A35" s="524"/>
      <c r="B35" s="749"/>
      <c r="C35" s="768"/>
      <c r="D35" s="508" t="s">
        <v>211</v>
      </c>
      <c r="E35" s="750" t="str">
        <f>IF(VLOOKUP(CONCATENATE($C$2,"-",$D35),Languages!$A:$D,1,TRUE)=CONCATENATE($C$2,"-",$D35),VLOOKUP(CONCATENATE($C$2,"-",$D35),Languages!$A:$D,Kybermittari!$C$7,TRUE),NA())</f>
        <v>Poikkeamien ja poikkeavan toiminnan indikaattorit arvioidaan ja päivitetään organisaation määrittämin aikavälein.</v>
      </c>
      <c r="F35" s="750"/>
      <c r="G35" s="750"/>
      <c r="H35" s="493">
        <f>IFERROR(INT(LEFT($I35,1)),0)</f>
        <v>0</v>
      </c>
      <c r="I35" s="54"/>
      <c r="J35" s="527"/>
      <c r="K35" s="509"/>
      <c r="L35" s="483"/>
      <c r="M35" s="545"/>
      <c r="N35" s="523"/>
      <c r="O35" s="495"/>
      <c r="P35" s="495"/>
    </row>
    <row r="36" spans="1:16" s="343" customFormat="1" ht="30" customHeight="1" x14ac:dyDescent="0.25">
      <c r="A36" s="332"/>
      <c r="B36" s="461"/>
      <c r="C36" s="336">
        <v>3</v>
      </c>
      <c r="D36" s="336" t="str">
        <f>IF(VLOOKUP(CONCATENATE($C$2,"-",C36),Languages!$A:$D,1,TRUE)=CONCATENATE($C$2,"-",C36),VLOOKUP(CONCATENATE($C$2,"-",C36),Languages!$A:$D,Kybermittari!$C$7,TRUE),NA())</f>
        <v>Tilannekuvan muodostaminen</v>
      </c>
      <c r="E36" s="336"/>
      <c r="F36" s="506"/>
      <c r="G36" s="506"/>
      <c r="H36" s="506"/>
      <c r="I36" s="506" t="s">
        <v>19</v>
      </c>
      <c r="J36" s="507"/>
      <c r="K36" s="339"/>
      <c r="L36" s="332"/>
      <c r="M36" s="533"/>
      <c r="N36" s="636"/>
      <c r="O36" s="341"/>
      <c r="P36" s="341"/>
    </row>
    <row r="37" spans="1:16" s="510" customFormat="1" ht="47.5" customHeight="1" x14ac:dyDescent="0.3">
      <c r="A37" s="524"/>
      <c r="B37" s="511"/>
      <c r="C37" s="753" t="str">
        <f>IF(VLOOKUP(CONCATENATE($C$2,"-",$C36,"-0"),Languages!$A:$D,1,TRUE)=CONCATENATE($C$2,"-",$C36,"-0"),VLOOKUP(CONCATENATE($C$2,"-",$C36,"-0"),Languages!$A:$D,Kybermittari!$C$7,TRUE),NA())</f>
        <v>Yhteisen operatiivisen tilannekuvan ydin on tilanteen kommunikointi olennaisille päätöksentekijöille ymmärrettävästi. Vaikka useat yhteisen operatiivisen tilannekuvan toteutukset saattavat sisältää visuaalisia elementtejä (esim. hallintapaneelit, kartat tai muut graafiset käyttöliittymät), ne eivät ole pakollisia tavoitteiden saavuttamiseksi. Organisaatiot voivat myös käyttää muita tapoja tilannekuvan viestimiseen.</v>
      </c>
      <c r="D37" s="753"/>
      <c r="E37" s="753"/>
      <c r="F37" s="753"/>
      <c r="G37" s="753"/>
      <c r="H37" s="753"/>
      <c r="I37" s="753"/>
      <c r="J37" s="753"/>
      <c r="K37" s="509"/>
      <c r="L37" s="483"/>
      <c r="M37" s="545"/>
      <c r="N37" s="523"/>
      <c r="O37" s="495"/>
      <c r="P37" s="495"/>
    </row>
    <row r="38" spans="1:16" s="547" customFormat="1" ht="20" customHeight="1" x14ac:dyDescent="0.3">
      <c r="A38" s="483"/>
      <c r="B38" s="476"/>
      <c r="C38" s="477" t="str">
        <f>IF(VLOOKUP("GEN-LEVEL",Languages!$A:$D,1,TRUE)="GEN-LEVEL",VLOOKUP("GEN-LEVEL",Languages!$A:$D,Kybermittari!$C$7,TRUE),NA())</f>
        <v>Taso</v>
      </c>
      <c r="D38" s="477"/>
      <c r="E38" s="478" t="str">
        <f>IF(VLOOKUP("GEN-PRACTICE",Languages!$A:$D,1,TRUE)="GEN-PRACTICE",VLOOKUP("GEN-PRACTICE",Languages!$A:$D,Kybermittari!$C$7,TRUE),NA())</f>
        <v>Käytäntö</v>
      </c>
      <c r="F38" s="479"/>
      <c r="G38" s="480"/>
      <c r="H38" s="481"/>
      <c r="I38" s="478" t="str">
        <f>IF(VLOOKUP("GEN-ANSWER",Languages!$A:$D,1,TRUE)="GEN-ANSWER",VLOOKUP("GEN-ANSWER",Languages!$A:$D,Kybermittari!$C$7,TRUE),NA())</f>
        <v>Vastaus</v>
      </c>
      <c r="J38" s="480" t="str">
        <f>IF(VLOOKUP("GEN-COMMENT",Languages!$A:$D,1,TRUE)="GEN-COMMENT",VLOOKUP("GEN-COMMENT",Languages!$A:$D,Kybermittari!$C$7,TRUE),NA())</f>
        <v>Kommentti ja viittaukset</v>
      </c>
      <c r="K38" s="482"/>
      <c r="L38" s="524"/>
      <c r="M38" s="545"/>
      <c r="N38" s="524"/>
      <c r="O38" s="546"/>
      <c r="P38" s="546"/>
    </row>
    <row r="39" spans="1:16" s="547" customFormat="1" ht="10" customHeight="1" x14ac:dyDescent="0.3">
      <c r="A39" s="483"/>
      <c r="B39" s="476"/>
      <c r="C39" s="487"/>
      <c r="D39" s="487"/>
      <c r="E39" s="488"/>
      <c r="F39" s="489"/>
      <c r="G39" s="490"/>
      <c r="H39" s="491"/>
      <c r="I39" s="488"/>
      <c r="J39" s="490"/>
      <c r="K39" s="482"/>
      <c r="L39" s="524"/>
      <c r="M39" s="545"/>
      <c r="N39" s="524"/>
      <c r="O39" s="546"/>
      <c r="P39" s="546"/>
    </row>
    <row r="40" spans="1:16" s="547" customFormat="1" ht="20" customHeight="1" x14ac:dyDescent="0.3">
      <c r="A40" s="483"/>
      <c r="B40" s="476"/>
      <c r="C40" s="557">
        <v>1</v>
      </c>
      <c r="D40" s="558"/>
      <c r="E40" s="559"/>
      <c r="F40" s="560"/>
      <c r="G40" s="561"/>
      <c r="H40" s="562"/>
      <c r="I40" s="559"/>
      <c r="J40" s="563"/>
      <c r="K40" s="482"/>
      <c r="L40" s="524"/>
      <c r="M40" s="545"/>
      <c r="N40" s="524"/>
      <c r="O40" s="546"/>
      <c r="P40" s="546"/>
    </row>
    <row r="41" spans="1:16" s="547" customFormat="1" ht="10" customHeight="1" x14ac:dyDescent="0.3">
      <c r="A41" s="483"/>
      <c r="B41" s="476"/>
      <c r="C41" s="487"/>
      <c r="D41" s="487"/>
      <c r="E41" s="488"/>
      <c r="F41" s="489"/>
      <c r="G41" s="490"/>
      <c r="H41" s="491"/>
      <c r="I41" s="488"/>
      <c r="J41" s="490"/>
      <c r="K41" s="482"/>
      <c r="L41" s="524"/>
      <c r="M41" s="545"/>
      <c r="N41" s="524"/>
      <c r="O41" s="546"/>
      <c r="P41" s="546"/>
    </row>
    <row r="42" spans="1:16" s="510" customFormat="1" ht="35" customHeight="1" x14ac:dyDescent="0.3">
      <c r="A42" s="524"/>
      <c r="B42" s="511"/>
      <c r="C42" s="765">
        <v>2</v>
      </c>
      <c r="D42" s="508" t="s">
        <v>25</v>
      </c>
      <c r="E42" s="750" t="str">
        <f>IF(VLOOKUP(CONCATENATE($C$2,"-",$D42),Languages!$A:$D,1,TRUE)=CONCATENATE($C$2,"-",$D42),VLOOKUP(CONCATENATE($C$2,"-",$D42),Languages!$A:$D,Kybermittari!$C$7,TRUE),NA())</f>
        <v>Organisaatio on määrittänyt, miten se viestii toiminnan osa-alueen kyberturvallisuuden nykytilan, ja pitää yllä tätä määrittelyä.</v>
      </c>
      <c r="F42" s="750"/>
      <c r="G42" s="750"/>
      <c r="H42" s="493">
        <f>IFERROR(INT(LEFT($I42,1)),0)</f>
        <v>0</v>
      </c>
      <c r="I42" s="54"/>
      <c r="J42" s="527"/>
      <c r="K42" s="509"/>
      <c r="L42" s="524"/>
      <c r="M42" s="545"/>
      <c r="N42" s="524"/>
      <c r="O42" s="495"/>
      <c r="P42" s="495"/>
    </row>
    <row r="43" spans="1:16" s="510" customFormat="1" ht="35" customHeight="1" x14ac:dyDescent="0.3">
      <c r="A43" s="524"/>
      <c r="B43" s="511"/>
      <c r="C43" s="766"/>
      <c r="D43" s="508" t="s">
        <v>26</v>
      </c>
      <c r="E43" s="750" t="str">
        <f>IF(VLOOKUP(CONCATENATE($C$2,"-",$D43),Languages!$A:$D,1,TRUE)=CONCATENATE($C$2,"-",$D43),VLOOKUP(CONCATENATE($C$2,"-",$D43),Languages!$A:$D,Kybermittari!$C$7,TRUE),NA())</f>
        <v>Monitoroinnin tuottama tieto kootaan yhteen toiminnan osa-alueen operatiivisen tilannekuvan muodostamiseksi.</v>
      </c>
      <c r="F43" s="750"/>
      <c r="G43" s="750"/>
      <c r="H43" s="493">
        <f>IFERROR(INT(LEFT($I43,1)),0)</f>
        <v>0</v>
      </c>
      <c r="I43" s="54"/>
      <c r="J43" s="527"/>
      <c r="K43" s="509"/>
      <c r="L43" s="524"/>
      <c r="M43" s="545"/>
      <c r="N43" s="524"/>
      <c r="O43" s="495"/>
      <c r="P43" s="495"/>
    </row>
    <row r="44" spans="1:16" s="510" customFormat="1" ht="35" customHeight="1" x14ac:dyDescent="0.3">
      <c r="A44" s="524"/>
      <c r="B44" s="511"/>
      <c r="C44" s="767"/>
      <c r="D44" s="508" t="s">
        <v>27</v>
      </c>
      <c r="E44" s="750" t="str">
        <f>IF(VLOOKUP(CONCATENATE($C$2,"-",$D44),Languages!$A:$D,1,TRUE)=CONCATENATE($C$2,"-",$D44),VLOOKUP(CONCATENATE($C$2,"-",$D44),Languages!$A:$D,Kybermittari!$C$7,TRUE),NA())</f>
        <v>Tilannekuvan rikastamiseksi kerätään relevanttia tietoa koko organisaation laajuudelta.</v>
      </c>
      <c r="F44" s="750"/>
      <c r="G44" s="750"/>
      <c r="H44" s="493">
        <f>IFERROR(INT(LEFT($I44,1)),0)</f>
        <v>0</v>
      </c>
      <c r="I44" s="54"/>
      <c r="J44" s="527"/>
      <c r="K44" s="509"/>
      <c r="L44" s="524"/>
      <c r="M44" s="545"/>
      <c r="N44" s="524"/>
      <c r="O44" s="495"/>
      <c r="P44" s="495"/>
    </row>
    <row r="45" spans="1:16" s="510" customFormat="1" ht="10" customHeight="1" x14ac:dyDescent="0.3">
      <c r="A45" s="524"/>
      <c r="B45" s="511"/>
      <c r="C45" s="565"/>
      <c r="D45" s="513"/>
      <c r="E45" s="501"/>
      <c r="F45" s="501"/>
      <c r="G45" s="501"/>
      <c r="H45" s="499"/>
      <c r="I45" s="502"/>
      <c r="J45" s="514"/>
      <c r="K45" s="509"/>
      <c r="L45" s="524"/>
      <c r="M45" s="545"/>
      <c r="N45" s="524"/>
      <c r="O45" s="495"/>
      <c r="P45" s="495"/>
    </row>
    <row r="46" spans="1:16" s="510" customFormat="1" ht="75.5" customHeight="1" x14ac:dyDescent="0.3">
      <c r="A46" s="524"/>
      <c r="B46" s="511"/>
      <c r="C46" s="765">
        <v>3</v>
      </c>
      <c r="D46" s="508" t="s">
        <v>28</v>
      </c>
      <c r="E46" s="750" t="str">
        <f>IF(VLOOKUP(CONCATENATE($C$2,"-",$D46),Languages!$A:$D,1,TRUE)=CONCATENATE($C$2,"-",$D46),VLOOKUP(CONCATENATE($C$2,"-",$D46),Languages!$A:$D,Kybermittari!$C$7,TRUE),NA())</f>
        <v>Tilannekuvan raportoinnin osalta on määritetty vaatimukset, jotka käsittelevät myös kyberturvallisuustiedon oikea-aikaista jakamista organisaation määrittelemille sidosryhmillä (kuten valtio, liitännäiset organisaatiot, toimittajat, toimialan muut organisaatiot, sääntelyviranomaiset tai organisaation sisäiset tahot).</v>
      </c>
      <c r="F46" s="750"/>
      <c r="G46" s="750"/>
      <c r="H46" s="493">
        <f>IFERROR(INT(LEFT($I46,1)),0)</f>
        <v>0</v>
      </c>
      <c r="I46" s="54"/>
      <c r="J46" s="527"/>
      <c r="K46" s="509"/>
      <c r="L46" s="524"/>
      <c r="M46" s="545"/>
      <c r="N46" s="524"/>
      <c r="O46" s="495"/>
      <c r="P46" s="495"/>
    </row>
    <row r="47" spans="1:16" s="510" customFormat="1" ht="47" customHeight="1" x14ac:dyDescent="0.3">
      <c r="A47" s="524"/>
      <c r="B47" s="511"/>
      <c r="C47" s="766"/>
      <c r="D47" s="508" t="s">
        <v>29</v>
      </c>
      <c r="E47" s="750" t="str">
        <f>IF(VLOOKUP(CONCATENATE($C$2,"-",$D47),Languages!$A:$D,1,TRUE)=CONCATENATE($C$2,"-",$D47),VLOOKUP(CONCATENATE($C$2,"-",$D47),Languages!$A:$D,Kybermittari!$C$7,TRUE),NA())</f>
        <v>Monitoroinnin tuottama tieto kootaan yhteen, se korreloidaan ja sitä käytetään miltei reaaliaikaisen kyberturvallisuuden tilannekuvan muodostamiseksi toiminnan osa-alueella.</v>
      </c>
      <c r="F47" s="750"/>
      <c r="G47" s="750"/>
      <c r="H47" s="493">
        <f>IFERROR(INT(LEFT($I47,1)),0)</f>
        <v>0</v>
      </c>
      <c r="I47" s="54"/>
      <c r="J47" s="527"/>
      <c r="K47" s="509"/>
      <c r="L47" s="524"/>
      <c r="M47" s="545"/>
      <c r="N47" s="524"/>
      <c r="O47" s="495"/>
      <c r="P47" s="495"/>
    </row>
    <row r="48" spans="1:16" s="510" customFormat="1" ht="46.5" customHeight="1" x14ac:dyDescent="0.3">
      <c r="A48" s="524"/>
      <c r="B48" s="511"/>
      <c r="C48" s="766"/>
      <c r="D48" s="508" t="s">
        <v>30</v>
      </c>
      <c r="E48" s="750" t="str">
        <f>IF(VLOOKUP(CONCATENATE($C$2,"-",$D48),Languages!$A:$D,1,TRUE)=CONCATENATE($C$2,"-",$D48),VLOOKUP(CONCATENATE($C$2,"-",$D48),Languages!$A:$D,Kybermittari!$C$7,TRUE),NA())</f>
        <v>Organisaatiossa kerätään ja tarjotaan saataville organisaation ulkopuolista relevanttia tietoa tilannekuvan rikastamiseksi [kts. THREAT-1g, THREAT-2i].</v>
      </c>
      <c r="F48" s="750"/>
      <c r="G48" s="750"/>
      <c r="H48" s="493">
        <f>IFERROR(INT(LEFT($I48,1)),0)</f>
        <v>0</v>
      </c>
      <c r="I48" s="54"/>
      <c r="J48" s="527"/>
      <c r="K48" s="509"/>
      <c r="L48" s="618"/>
      <c r="M48" s="545"/>
      <c r="N48" s="618"/>
      <c r="O48" s="495"/>
      <c r="P48" s="495"/>
    </row>
    <row r="49" spans="1:16" s="510" customFormat="1" ht="47" customHeight="1" x14ac:dyDescent="0.3">
      <c r="A49" s="524"/>
      <c r="B49" s="511"/>
      <c r="C49" s="766"/>
      <c r="D49" s="508" t="s">
        <v>31</v>
      </c>
      <c r="E49" s="750" t="str">
        <f>IF(VLOOKUP(CONCATENATE($C$2,"-",$D49),Languages!$A:$D,1,TRUE)=CONCATENATE($C$2,"-",$D49),VLOOKUP(CONCATENATE($C$2,"-",$D49),Languages!$A:$D,Kybermittari!$C$7,TRUE),NA())</f>
        <v>Tilannekuvan laadun parantamiseksi käytössä on prosessi, jolla vastaanotettu kyberturvallisuustieto analysoidaan ja tietomassassa mahdollisesti olevat päällekkäisyydet poistetaan.</v>
      </c>
      <c r="F49" s="750"/>
      <c r="G49" s="750"/>
      <c r="H49" s="493">
        <f>IFERROR(INT(LEFT($I49,1)),0)</f>
        <v>0</v>
      </c>
      <c r="I49" s="54"/>
      <c r="J49" s="527"/>
      <c r="K49" s="509"/>
      <c r="L49" s="524"/>
      <c r="M49" s="545"/>
      <c r="N49" s="524"/>
      <c r="O49" s="495"/>
      <c r="P49" s="495"/>
    </row>
    <row r="50" spans="1:16" s="510" customFormat="1" ht="47" customHeight="1" x14ac:dyDescent="0.3">
      <c r="A50" s="524"/>
      <c r="B50" s="511"/>
      <c r="C50" s="767"/>
      <c r="D50" s="508" t="s">
        <v>247</v>
      </c>
      <c r="E50" s="750" t="str">
        <f>IF(VLOOKUP(CONCATENATE($C$2,"-",$D50),Languages!$A:$D,1,TRUE)=CONCATENATE($C$2,"-",$D50),VLOOKUP(CONCATENATE($C$2,"-",$D50),Languages!$A:$D,Kybermittari!$C$7,TRUE),NA())</f>
        <v>Organisaatiolla on ennalta määritellyt toimintatavat, jotka aktivoidaan (automaattisesti tai manuaalisesti) koostetun ja analysoidun monitorointitiedon perusteella. [kts. THREAT-1k ja RESPONSE-3h].</v>
      </c>
      <c r="F50" s="750"/>
      <c r="G50" s="750"/>
      <c r="H50" s="493">
        <f>IFERROR(INT(LEFT($I50,1)),0)</f>
        <v>0</v>
      </c>
      <c r="I50" s="54"/>
      <c r="J50" s="527"/>
      <c r="K50" s="509"/>
      <c r="L50" s="483"/>
      <c r="M50" s="545"/>
      <c r="N50" s="523"/>
      <c r="O50" s="495"/>
      <c r="P50" s="495"/>
    </row>
    <row r="51" spans="1:16" s="343" customFormat="1" ht="30" customHeight="1" x14ac:dyDescent="0.25">
      <c r="A51" s="332"/>
      <c r="B51" s="461"/>
      <c r="C51" s="336">
        <v>4</v>
      </c>
      <c r="D51" s="336" t="str">
        <f>IF(VLOOKUP(CONCATENATE($C$2,"-",C51),Languages!$A:$D,1,TRUE)=CONCATENATE($C$2,"-",C51),VLOOKUP(CONCATENATE($C$2,"-",C51),Languages!$A:$D,Kybermittari!$C$7,TRUE),NA())</f>
        <v>Yleisiä hallintatoimia</v>
      </c>
      <c r="E51" s="336"/>
      <c r="F51" s="506"/>
      <c r="G51" s="506"/>
      <c r="H51" s="506"/>
      <c r="I51" s="506" t="s">
        <v>19</v>
      </c>
      <c r="J51" s="507"/>
      <c r="K51" s="339"/>
      <c r="L51" s="332"/>
      <c r="M51" s="533"/>
      <c r="N51" s="636"/>
      <c r="O51" s="341"/>
      <c r="P51" s="341"/>
    </row>
    <row r="52" spans="1:16" s="475" customFormat="1" ht="47" customHeight="1" x14ac:dyDescent="0.3">
      <c r="A52" s="524"/>
      <c r="B52" s="525"/>
      <c r="C52" s="753" t="str">
        <f>IF(VLOOKUP(CONCATENATE($C$2,"-",$C51,"-0"),Languages!$A:$D,1,TRUE)=CONCATENATE($C$2,"-",$C51,"-0"),VLOOKUP(CONCATENATE($C$2,"-",$C51,"-0"),Languages!$A:$D,Kybermittari!$C$7,TRUE),NA())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52" s="753"/>
      <c r="E52" s="753"/>
      <c r="F52" s="753"/>
      <c r="G52" s="753"/>
      <c r="H52" s="753"/>
      <c r="I52" s="753"/>
      <c r="J52" s="753"/>
      <c r="K52" s="471"/>
      <c r="L52" s="483"/>
      <c r="M52" s="545"/>
      <c r="N52" s="523"/>
      <c r="O52" s="473"/>
      <c r="P52" s="473"/>
    </row>
    <row r="53" spans="1:16" s="547" customFormat="1" ht="20" customHeight="1" x14ac:dyDescent="0.3">
      <c r="A53" s="483"/>
      <c r="B53" s="476"/>
      <c r="C53" s="477" t="str">
        <f>IF(VLOOKUP("GEN-LEVEL",Languages!$A:$D,1,TRUE)="GEN-LEVEL",VLOOKUP("GEN-LEVEL",Languages!$A:$D,Kybermittari!$C$7,TRUE),NA())</f>
        <v>Taso</v>
      </c>
      <c r="D53" s="477"/>
      <c r="E53" s="478" t="str">
        <f>IF(VLOOKUP("GEN-PRACTICE",Languages!$A:$D,1,TRUE)="GEN-PRACTICE",VLOOKUP("GEN-PRACTICE",Languages!$A:$D,Kybermittari!$C$7,TRUE),NA())</f>
        <v>Käytäntö</v>
      </c>
      <c r="F53" s="479"/>
      <c r="G53" s="480"/>
      <c r="H53" s="481"/>
      <c r="I53" s="478" t="str">
        <f>IF(VLOOKUP("GEN-ANSWER",Languages!$A:$D,1,TRUE)="GEN-ANSWER",VLOOKUP("GEN-ANSWER",Languages!$A:$D,Kybermittari!$C$7,TRUE),NA())</f>
        <v>Vastaus</v>
      </c>
      <c r="J53" s="480" t="str">
        <f>IF(VLOOKUP("GEN-COMMENT",Languages!$A:$D,1,TRUE)="GEN-COMMENT",VLOOKUP("GEN-COMMENT",Languages!$A:$D,Kybermittari!$C$7,TRUE),NA())</f>
        <v>Kommentti ja viittaukset</v>
      </c>
      <c r="K53" s="482"/>
      <c r="L53" s="483"/>
      <c r="M53" s="545"/>
      <c r="N53" s="523"/>
      <c r="O53" s="546"/>
      <c r="P53" s="546"/>
    </row>
    <row r="54" spans="1:16" s="547" customFormat="1" ht="10" customHeight="1" x14ac:dyDescent="0.3">
      <c r="A54" s="483"/>
      <c r="B54" s="476"/>
      <c r="C54" s="487"/>
      <c r="D54" s="487"/>
      <c r="E54" s="488"/>
      <c r="F54" s="489"/>
      <c r="G54" s="490"/>
      <c r="H54" s="491"/>
      <c r="I54" s="488"/>
      <c r="J54" s="490"/>
      <c r="K54" s="482"/>
      <c r="L54" s="483"/>
      <c r="M54" s="545"/>
      <c r="N54" s="523"/>
      <c r="O54" s="546"/>
      <c r="P54" s="546"/>
    </row>
    <row r="55" spans="1:16" s="547" customFormat="1" ht="20" customHeight="1" x14ac:dyDescent="0.3">
      <c r="A55" s="483"/>
      <c r="B55" s="476"/>
      <c r="C55" s="557">
        <v>1</v>
      </c>
      <c r="D55" s="558"/>
      <c r="E55" s="559"/>
      <c r="F55" s="560"/>
      <c r="G55" s="561"/>
      <c r="H55" s="562"/>
      <c r="I55" s="559"/>
      <c r="J55" s="563"/>
      <c r="K55" s="482"/>
      <c r="L55" s="483"/>
      <c r="M55" s="545"/>
      <c r="N55" s="523"/>
      <c r="O55" s="546"/>
      <c r="P55" s="546"/>
    </row>
    <row r="56" spans="1:16" s="547" customFormat="1" ht="10" customHeight="1" x14ac:dyDescent="0.3">
      <c r="A56" s="483"/>
      <c r="B56" s="476"/>
      <c r="C56" s="487"/>
      <c r="D56" s="487"/>
      <c r="E56" s="488"/>
      <c r="F56" s="489"/>
      <c r="G56" s="490"/>
      <c r="H56" s="491"/>
      <c r="I56" s="488"/>
      <c r="J56" s="490"/>
      <c r="K56" s="482"/>
      <c r="L56" s="483"/>
      <c r="M56" s="545"/>
      <c r="N56" s="523"/>
      <c r="O56" s="546"/>
      <c r="P56" s="546"/>
    </row>
    <row r="57" spans="1:16" s="510" customFormat="1" ht="35" customHeight="1" x14ac:dyDescent="0.3">
      <c r="A57" s="524"/>
      <c r="B57" s="749"/>
      <c r="C57" s="765">
        <v>2</v>
      </c>
      <c r="D57" s="508" t="s">
        <v>126</v>
      </c>
      <c r="E57" s="750" t="str">
        <f>IF(VLOOKUP(CONCATENATE($C$2,"-",$D57),Languages!$A:$D,1,TRUE)=CONCATENATE($C$2,"-",$D57),VLOOKUP(CONCATENATE($C$2,"-",$D57),Languages!$A:$D,Kybermittari!$C$7,TRUE),NA())</f>
        <v>Tilannekuvan (SITUATION) osioon liittyen on määritetty dokumentoidut käytännöt, joita noudatetaan ja pidetään yllä.</v>
      </c>
      <c r="F57" s="750"/>
      <c r="G57" s="750"/>
      <c r="H57" s="493">
        <f>IFERROR(INT(LEFT($I57,1)),0)</f>
        <v>0</v>
      </c>
      <c r="I57" s="54"/>
      <c r="J57" s="527"/>
      <c r="K57" s="509"/>
      <c r="L57" s="524"/>
      <c r="M57" s="545"/>
      <c r="N57" s="524"/>
      <c r="O57" s="495"/>
      <c r="P57" s="495"/>
    </row>
    <row r="58" spans="1:16" s="510" customFormat="1" ht="35" customHeight="1" x14ac:dyDescent="0.3">
      <c r="A58" s="524"/>
      <c r="B58" s="749"/>
      <c r="C58" s="766"/>
      <c r="D58" s="508" t="s">
        <v>129</v>
      </c>
      <c r="E58" s="750" t="str">
        <f>IF(VLOOKUP(CONCATENATE($C$2,"-",$D58),Languages!$A:$D,1,TRUE)=CONCATENATE($C$2,"-",$D58),VLOOKUP(CONCATENATE($C$2,"-",$D58),Languages!$A:$D,Kybermittari!$C$7,TRUE),NA())</f>
        <v>Tilannekuvan (SITUATION) osion toimintaan on saatavilla riittävät resurssit (henkilöstö, rahoitus ja työkalut).</v>
      </c>
      <c r="F58" s="750"/>
      <c r="G58" s="750"/>
      <c r="H58" s="493">
        <f>IFERROR(INT(LEFT($I58,1)),0)</f>
        <v>0</v>
      </c>
      <c r="I58" s="54"/>
      <c r="J58" s="527"/>
      <c r="K58" s="509"/>
      <c r="L58" s="524"/>
      <c r="M58" s="545"/>
      <c r="N58" s="524"/>
      <c r="O58" s="495"/>
      <c r="P58" s="495"/>
    </row>
    <row r="59" spans="1:16" s="510" customFormat="1" ht="35" customHeight="1" x14ac:dyDescent="0.3">
      <c r="A59" s="524"/>
      <c r="B59" s="749"/>
      <c r="C59" s="766"/>
      <c r="D59" s="508" t="s">
        <v>132</v>
      </c>
      <c r="E59" s="750" t="str">
        <f>IF(VLOOKUP(CONCATENATE($C$2,"-",$D59),Languages!$A:$D,1,TRUE)=CONCATENATE($C$2,"-",$D59),VLOOKUP(CONCATENATE($C$2,"-",$D59),Languages!$A:$D,Kybermittari!$C$7,TRUE),NA())</f>
        <v>Tilannekuvan (SITUATION) osion toimintaa suorittavilla työntekijöillä on riittävät tiedot ja taidot tehtäviensä suorittamiseen.</v>
      </c>
      <c r="F59" s="750"/>
      <c r="G59" s="750"/>
      <c r="H59" s="493">
        <f>IFERROR(INT(LEFT($I59,1)),0)</f>
        <v>0</v>
      </c>
      <c r="I59" s="54"/>
      <c r="J59" s="527"/>
      <c r="K59" s="509"/>
      <c r="L59" s="524"/>
      <c r="M59" s="545"/>
      <c r="N59" s="524"/>
      <c r="O59" s="495"/>
      <c r="P59" s="495"/>
    </row>
    <row r="60" spans="1:16" s="510" customFormat="1" ht="35" customHeight="1" x14ac:dyDescent="0.3">
      <c r="A60" s="524"/>
      <c r="B60" s="749"/>
      <c r="C60" s="767"/>
      <c r="D60" s="508" t="s">
        <v>135</v>
      </c>
      <c r="E60" s="750" t="str">
        <f>IF(VLOOKUP(CONCATENATE($C$2,"-",$D60),Languages!$A:$D,1,TRUE)=CONCATENATE($C$2,"-",$D60),VLOOKUP(CONCATENATE($C$2,"-",$D60),Languages!$A:$D,Kybermittari!$C$7,TRUE),NA())</f>
        <v>Tilannekuvan (SITUATION) osion toiminnan suorittamiseen liittyvät vastuut ja valtuudet on osoitettu nimetyille työntekijöille.</v>
      </c>
      <c r="F60" s="750"/>
      <c r="G60" s="750"/>
      <c r="H60" s="493">
        <f>IFERROR(INT(LEFT($I60,1)),0)</f>
        <v>0</v>
      </c>
      <c r="I60" s="54"/>
      <c r="J60" s="527"/>
      <c r="K60" s="509"/>
      <c r="L60" s="524"/>
      <c r="M60" s="545"/>
      <c r="N60" s="524"/>
      <c r="O60" s="495"/>
      <c r="P60" s="495"/>
    </row>
    <row r="61" spans="1:16" s="510" customFormat="1" ht="10" customHeight="1" x14ac:dyDescent="0.3">
      <c r="A61" s="524"/>
      <c r="B61" s="511"/>
      <c r="C61" s="565"/>
      <c r="D61" s="513"/>
      <c r="E61" s="501"/>
      <c r="F61" s="501"/>
      <c r="G61" s="501"/>
      <c r="H61" s="499"/>
      <c r="I61" s="502"/>
      <c r="J61" s="514"/>
      <c r="K61" s="509"/>
      <c r="L61" s="524"/>
      <c r="M61" s="545"/>
      <c r="N61" s="524"/>
      <c r="O61" s="495"/>
      <c r="P61" s="495"/>
    </row>
    <row r="62" spans="1:16" s="510" customFormat="1" ht="47" customHeight="1" x14ac:dyDescent="0.3">
      <c r="A62" s="524"/>
      <c r="B62" s="749"/>
      <c r="C62" s="765">
        <v>3</v>
      </c>
      <c r="D62" s="508" t="s">
        <v>138</v>
      </c>
      <c r="E62" s="750" t="str">
        <f>IF(VLOOKUP(CONCATENATE($C$2,"-",$D62),Languages!$A:$D,1,TRUE)=CONCATENATE($C$2,"-",$D62),VLOOKUP(CONCATENATE($C$2,"-",$D62),Languages!$A:$D,Kybermittari!$C$7,TRUE),NA())</f>
        <v>Tilannekuvan (SITUATION) osion toiminta perustuu organisaation määrittämään ja ylläpitämään johtotason politiikkaan (tai vastaavaan ohjeistukseen), jossa asetetaan nimenomaisia vaatimuksia tämän osion toiminnalle.</v>
      </c>
      <c r="F62" s="750"/>
      <c r="G62" s="750"/>
      <c r="H62" s="493">
        <f>IFERROR(INT(LEFT($I62,1)),0)</f>
        <v>0</v>
      </c>
      <c r="I62" s="54"/>
      <c r="J62" s="527"/>
      <c r="K62" s="509"/>
      <c r="L62" s="524"/>
      <c r="M62" s="545"/>
      <c r="N62" s="524"/>
      <c r="O62" s="495"/>
      <c r="P62" s="495"/>
    </row>
    <row r="63" spans="1:16" s="510" customFormat="1" ht="35" customHeight="1" x14ac:dyDescent="0.3">
      <c r="A63" s="524"/>
      <c r="B63" s="749"/>
      <c r="C63" s="766"/>
      <c r="D63" s="508" t="s">
        <v>140</v>
      </c>
      <c r="E63" s="750" t="str">
        <f>IF(VLOOKUP(CONCATENATE($C$2,"-",$D63),Languages!$A:$D,1,TRUE)=CONCATENATE($C$2,"-",$D63),VLOOKUP(CONCATENATE($C$2,"-",$D63),Languages!$A:$D,Kybermittari!$C$7,TRUE),NA())</f>
        <v>Tilannekuvan (SITUATION) osion toiminnalle on määritetty suoriutumistavoitteet, joiden toteutumista seurataan [kts. PROGRAM-1b].</v>
      </c>
      <c r="F63" s="750"/>
      <c r="G63" s="750"/>
      <c r="H63" s="493">
        <f>IFERROR(INT(LEFT($I63,1)),0)</f>
        <v>0</v>
      </c>
      <c r="I63" s="54"/>
      <c r="J63" s="527"/>
      <c r="K63" s="509"/>
      <c r="L63" s="524"/>
      <c r="M63" s="545"/>
      <c r="N63" s="524"/>
      <c r="O63" s="495"/>
      <c r="P63" s="495"/>
    </row>
    <row r="64" spans="1:16" s="510" customFormat="1" ht="35" customHeight="1" x14ac:dyDescent="0.3">
      <c r="A64" s="524"/>
      <c r="B64" s="749"/>
      <c r="C64" s="767"/>
      <c r="D64" s="508" t="s">
        <v>255</v>
      </c>
      <c r="E64" s="750" t="str">
        <f>IF(VLOOKUP(CONCATENATE($C$2,"-",$D64),Languages!$A:$D,1,TRUE)=CONCATENATE($C$2,"-",$D64),VLOOKUP(CONCATENATE($C$2,"-",$D64),Languages!$A:$D,Kybermittari!$C$7,TRUE),NA())</f>
        <v>Tilannekuvan (SITUATION) osioon liittyvät käytännöt on standardoitu läpi koko organisaation ja niitä kehitetään aktiivisesti.</v>
      </c>
      <c r="F64" s="750"/>
      <c r="G64" s="750"/>
      <c r="H64" s="493">
        <f>IFERROR(INT(LEFT($I64,1)),0)</f>
        <v>0</v>
      </c>
      <c r="I64" s="54"/>
      <c r="J64" s="527"/>
      <c r="K64" s="509"/>
      <c r="L64" s="524"/>
      <c r="M64" s="545"/>
      <c r="N64" s="524"/>
      <c r="O64" s="495"/>
      <c r="P64" s="495"/>
    </row>
    <row r="65" spans="1:14" x14ac:dyDescent="0.25">
      <c r="A65" s="347"/>
      <c r="B65" s="619"/>
      <c r="C65" s="620"/>
      <c r="D65" s="621"/>
      <c r="E65" s="622"/>
      <c r="F65" s="622"/>
      <c r="G65" s="622"/>
      <c r="H65" s="623"/>
      <c r="I65" s="624"/>
      <c r="J65" s="625"/>
      <c r="K65" s="626"/>
      <c r="L65" s="347"/>
      <c r="M65" s="533"/>
      <c r="N65" s="347"/>
    </row>
    <row r="66" spans="1:14" x14ac:dyDescent="0.25">
      <c r="A66" s="347"/>
      <c r="B66" s="347"/>
      <c r="C66" s="347"/>
      <c r="D66" s="347"/>
      <c r="E66" s="347"/>
      <c r="F66" s="347"/>
      <c r="G66" s="347"/>
      <c r="H66" s="627"/>
      <c r="I66" s="347"/>
      <c r="J66" s="347"/>
      <c r="K66" s="347"/>
      <c r="L66" s="347"/>
      <c r="M66" s="533"/>
      <c r="N66" s="347"/>
    </row>
    <row r="67" spans="1:14" x14ac:dyDescent="0.25">
      <c r="L67" s="631"/>
      <c r="M67" s="630"/>
      <c r="N67" s="349"/>
    </row>
  </sheetData>
  <sheetProtection sheet="1" objects="1" scenarios="1"/>
  <mergeCells count="48">
    <mergeCell ref="C5:J5"/>
    <mergeCell ref="E64:G64"/>
    <mergeCell ref="C16:C17"/>
    <mergeCell ref="C42:C44"/>
    <mergeCell ref="C46:C50"/>
    <mergeCell ref="C32:C35"/>
    <mergeCell ref="C27:C30"/>
    <mergeCell ref="C52:J52"/>
    <mergeCell ref="E44:G44"/>
    <mergeCell ref="E46:G46"/>
    <mergeCell ref="E47:G47"/>
    <mergeCell ref="E48:G48"/>
    <mergeCell ref="E49:G49"/>
    <mergeCell ref="E50:G50"/>
    <mergeCell ref="E35:G35"/>
    <mergeCell ref="C37:J37"/>
    <mergeCell ref="B62:B64"/>
    <mergeCell ref="E62:G62"/>
    <mergeCell ref="E63:G63"/>
    <mergeCell ref="C57:C60"/>
    <mergeCell ref="C62:C64"/>
    <mergeCell ref="B57:B60"/>
    <mergeCell ref="E57:G57"/>
    <mergeCell ref="E58:G58"/>
    <mergeCell ref="E59:G59"/>
    <mergeCell ref="E60:G60"/>
    <mergeCell ref="E42:G42"/>
    <mergeCell ref="E43:G43"/>
    <mergeCell ref="B27:B35"/>
    <mergeCell ref="E27:G27"/>
    <mergeCell ref="E28:G28"/>
    <mergeCell ref="E29:G29"/>
    <mergeCell ref="E30:G30"/>
    <mergeCell ref="E32:G32"/>
    <mergeCell ref="E33:G33"/>
    <mergeCell ref="E34:G34"/>
    <mergeCell ref="C21:J21"/>
    <mergeCell ref="B24:B25"/>
    <mergeCell ref="C24:C25"/>
    <mergeCell ref="E24:G24"/>
    <mergeCell ref="E25:G25"/>
    <mergeCell ref="C11:J11"/>
    <mergeCell ref="B14:B16"/>
    <mergeCell ref="E14:G14"/>
    <mergeCell ref="E16:G16"/>
    <mergeCell ref="B17:B19"/>
    <mergeCell ref="E17:G17"/>
    <mergeCell ref="E19:G19"/>
  </mergeCells>
  <conditionalFormatting sqref="H40">
    <cfRule type="containsText" dxfId="57" priority="7" operator="containsText" text="0">
      <formula>NOT(ISERROR(SEARCH("0",H40)))</formula>
    </cfRule>
  </conditionalFormatting>
  <conditionalFormatting sqref="H55">
    <cfRule type="containsText" dxfId="56" priority="5" operator="containsText" text="0">
      <formula>NOT(ISERROR(SEARCH("0",H55)))</formula>
    </cfRule>
  </conditionalFormatting>
  <conditionalFormatting sqref="H1:H1048576">
    <cfRule type="containsText" dxfId="55"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 id="{EF75874F-029A-4B47-956D-E1812871621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H40</xm:sqref>
        </x14:conditionalFormatting>
        <x14:conditionalFormatting xmlns:xm="http://schemas.microsoft.com/office/excel/2006/main">
          <x14:cfRule type="iconSet" priority="6" id="{4B8E50D5-6EAE-40F2-A667-9E9A5712B11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H55</xm:sqref>
        </x14:conditionalFormatting>
        <x14:conditionalFormatting xmlns:xm="http://schemas.microsoft.com/office/excel/2006/main">
          <x14:cfRule type="iconSet" priority="4" id="{F06151A1-6285-4FAA-948D-5C64D6EDDF2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I14 I16:I17 I19 I24:I25 I27:I30 I32:I35 I42:I44 I46:I50 I57:I60 I62:I64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68"/>
  <sheetViews>
    <sheetView showGridLines="0" zoomScaleNormal="100" workbookViewId="0">
      <selection activeCell="I14" sqref="I14"/>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74</v>
      </c>
      <c r="D2" s="591"/>
      <c r="E2" s="592"/>
      <c r="F2" s="592"/>
      <c r="G2" s="592"/>
      <c r="H2" s="593"/>
      <c r="I2" s="593"/>
      <c r="J2" s="594"/>
      <c r="K2" s="595"/>
      <c r="L2" s="332"/>
      <c r="M2" s="533"/>
      <c r="N2" s="332"/>
      <c r="O2" s="341"/>
      <c r="P2" s="341"/>
    </row>
    <row r="3" spans="1:16" s="598" customFormat="1" ht="25" customHeight="1" x14ac:dyDescent="0.35">
      <c r="A3" s="596"/>
      <c r="B3" s="597"/>
      <c r="C3" s="321" t="str">
        <f>IF(VLOOKUP($C$2,Languages!$A:$D,1,TRUE)=$C$2,VLOOKUP($C$2,Languages!$A:$D,Kybermittari!$C$7,TRUE),NA())</f>
        <v>Tapahtumien ja häiriötilanteiden hallinta</v>
      </c>
      <c r="D3" s="449"/>
      <c r="E3" s="450"/>
      <c r="G3" s="599"/>
      <c r="H3" s="600"/>
      <c r="I3" s="600"/>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50.5" customHeight="1" x14ac:dyDescent="0.25">
      <c r="A5" s="344"/>
      <c r="B5" s="532"/>
      <c r="C5" s="758" t="str">
        <f>IF(VLOOKUP(CONCATENATE(C2,"-0"),Languages!$A:$D,1,TRUE)=CONCATENATE(C2,"-0"),VLOOKUP(CONCATENATE(C2,"-0"),Languages!$A:$D,Kybermittari!$C$7,TRUE),NA())</f>
        <v>Tapahtumien ja häiriötilanteiden hallinnan osiossa arvioidaan organisaation kykyä hallita, reagoida ja palautua kybertapahtumista ja -häiriöistä. Organisaation tulee määritellä ja ylläpitää suunnitelmia, prosesseja ja teknologiaa kyberturvallisuuteen liittyvien tapahtumien ja häiriöiden havaitsemiseksi, analysoimiseksi, niihin vastaamiseksi ja niistä palautumiseksi suhteessa sekä suojattaviin kohteisiin kohdistuviin riskeihin, että organisaation asettamiin tavoitteisiin.</v>
      </c>
      <c r="D5" s="758"/>
      <c r="E5" s="758"/>
      <c r="F5" s="758"/>
      <c r="G5" s="758"/>
      <c r="H5" s="758"/>
      <c r="I5" s="758"/>
      <c r="J5" s="758"/>
      <c r="K5" s="356"/>
      <c r="L5" s="344"/>
      <c r="M5" s="533"/>
      <c r="N5" s="344"/>
    </row>
    <row r="6" spans="1:16" ht="14.5" x14ac:dyDescent="0.25">
      <c r="A6" s="344"/>
      <c r="B6" s="532"/>
      <c r="C6" s="456">
        <v>1</v>
      </c>
      <c r="D6" s="457" t="s">
        <v>2</v>
      </c>
      <c r="E6" s="458" t="str">
        <f>IF(VLOOKUP(CONCATENATE($C$2,"-",C6),Languages!$A:$D,1,TRUE)=CONCATENATE($C$2,"-",C6),VLOOKUP(CONCATENATE($C$2,"-",C6),Languages!$A:$D,Kybermittari!$C$7,TRUE),NA())</f>
        <v>Kybertapahtumien havainnointi</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Kybertapahtumien analysointi ja häiriöksi korottaminen</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Kybertapahtumiin ja -häiriötilanteisiin reagointi</v>
      </c>
      <c r="F8" s="607"/>
      <c r="G8" s="386"/>
      <c r="H8" s="610"/>
      <c r="I8" s="459" t="str">
        <f ca="1">VLOOKUP(VLOOKUP(CONCATENATE($C$2,"-",$C8),Data!$K:$O,5,FALSE),Parameters!$C$7:$F$10,Kybermittari!$C$7,FALSE)</f>
        <v>Kypsyystaso 0</v>
      </c>
      <c r="J8" s="611"/>
      <c r="K8" s="356"/>
      <c r="L8" s="344"/>
      <c r="M8" s="533"/>
      <c r="N8" s="344"/>
    </row>
    <row r="9" spans="1:16" ht="14.5" x14ac:dyDescent="0.25">
      <c r="A9" s="344"/>
      <c r="B9" s="532"/>
      <c r="C9" s="456">
        <v>4</v>
      </c>
      <c r="D9" s="457" t="s">
        <v>2</v>
      </c>
      <c r="E9" s="458" t="str">
        <f>IF(VLOOKUP(CONCATENATE($C$2,"-",C9),Languages!$A:$D,1,TRUE)=CONCATENATE($C$2,"-",C9),VLOOKUP(CONCATENATE($C$2,"-",C9),Languages!$A:$D,Kybermittari!$C$7,TRUE),NA())</f>
        <v>Yleisiä hallintatoimia</v>
      </c>
      <c r="F9" s="607"/>
      <c r="G9" s="386"/>
      <c r="H9" s="633"/>
      <c r="I9" s="459" t="str">
        <f ca="1">VLOOKUP(VLOOKUP(CONCATENATE($C$2,"-",$C9),Data!$K:$O,5,FALSE),Parameters!$C$7:$F$10,Kybermittari!$C$7,FALSE)</f>
        <v>Kypsyystaso 1</v>
      </c>
      <c r="J9" s="611"/>
      <c r="K9" s="356"/>
      <c r="L9" s="344"/>
      <c r="M9" s="533"/>
      <c r="N9" s="344"/>
    </row>
    <row r="10" spans="1:16" s="343" customFormat="1" ht="30" customHeight="1" x14ac:dyDescent="0.25">
      <c r="A10" s="332"/>
      <c r="B10" s="461"/>
      <c r="C10" s="336">
        <v>1</v>
      </c>
      <c r="D10" s="336" t="str">
        <f>IF(VLOOKUP(CONCATENATE($C$2,"-",C10),Languages!$A:$D,1,TRUE)=CONCATENATE($C$2,"-",C10),VLOOKUP(CONCATENATE($C$2,"-",C10),Languages!$A:$D,Kybermittari!$C$7,TRUE),NA())</f>
        <v>Kybertapahtumien havainnointi</v>
      </c>
      <c r="E10" s="336"/>
      <c r="F10" s="463"/>
      <c r="G10" s="463"/>
      <c r="H10" s="464"/>
      <c r="I10" s="464"/>
      <c r="J10" s="465"/>
      <c r="K10" s="466"/>
      <c r="L10" s="467"/>
      <c r="M10" s="533"/>
      <c r="N10" s="332"/>
      <c r="O10" s="341"/>
      <c r="P10" s="341"/>
    </row>
    <row r="11" spans="1:16" s="475" customFormat="1" ht="47.5" customHeight="1" x14ac:dyDescent="0.3">
      <c r="A11" s="469"/>
      <c r="B11" s="470"/>
      <c r="C11" s="753" t="str">
        <f>IF(VLOOKUP(CONCATENATE($C$2,"-",$C10,"-0"),Languages!$A:$D,1,TRUE)=CONCATENATE($C$2,"-",$C10,"-0"),VLOOKUP(CONCATENATE($C$2,"-",$C10,"-0"),Languages!$A:$D,Kybermittari!$C$7,TRUE),NA())</f>
        <v>Kybertapahtumien havainnointi sisältää keskitetyn raportointikanavan tapahtumia varten sekä arviointiperusteiden määrittelyn. Arviointiperusteiden tulee noudattaa kyberriskienhallintastrategiaa, varmistaa tapahtumien johdonmukainen arviointi sekä tarjota rakenteen kybertapahtumien tunnistamiseksi, kybertapahtuman eskaloimiseksi ja tapahtuman korottaminen kyberhäiriöksi.</v>
      </c>
      <c r="D11" s="753"/>
      <c r="E11" s="753"/>
      <c r="F11" s="753"/>
      <c r="G11" s="753"/>
      <c r="H11" s="753"/>
      <c r="I11" s="753"/>
      <c r="J11" s="753"/>
      <c r="K11" s="471"/>
      <c r="L11" s="469"/>
      <c r="M11" s="545"/>
      <c r="N11" s="469"/>
      <c r="O11" s="473"/>
      <c r="P11" s="473"/>
    </row>
    <row r="12" spans="1:16" s="547" customFormat="1" ht="20" customHeight="1" x14ac:dyDescent="0.3">
      <c r="A12" s="483"/>
      <c r="B12" s="476"/>
      <c r="C12" s="477" t="str">
        <f>IF(VLOOKUP("GEN-LEVEL",Languages!$A:$D,1,TRUE)="GEN-LEVEL",VLOOKUP("GEN-LEVEL",Languages!$A:$D,Kybermittari!$C$7,TRUE),NA())</f>
        <v>Taso</v>
      </c>
      <c r="D12" s="477"/>
      <c r="E12" s="478" t="str">
        <f>IF(VLOOKUP("GEN-PRACTICE",Languages!$A:$D,1,TRUE)="GEN-PRACTICE",VLOOKUP("GEN-PRACTICE",Languages!$A:$D,Kybermittari!$C$7,TRUE),NA())</f>
        <v>Käytäntö</v>
      </c>
      <c r="F12" s="479"/>
      <c r="G12" s="480"/>
      <c r="H12" s="481"/>
      <c r="I12" s="478" t="str">
        <f>IF(VLOOKUP("GEN-ANSWER",Languages!$A:$D,1,TRUE)="GEN-ANSWER",VLOOKUP("GEN-ANSWER",Languages!$A:$D,Kybermittari!$C$7,TRUE),NA())</f>
        <v>Vastaus</v>
      </c>
      <c r="J12" s="480" t="str">
        <f>IF(VLOOKUP("GEN-COMMENT",Languages!$A:$D,1,TRUE)="GEN-COMMENT",VLOOKUP("GEN-COMMENT",Languages!$A:$D,Kybermittari!$C$7,TRUE),NA())</f>
        <v>Kommentti ja viittaukset</v>
      </c>
      <c r="K12" s="482"/>
      <c r="L12" s="483"/>
      <c r="M12" s="545"/>
      <c r="N12" s="483"/>
      <c r="O12" s="546"/>
      <c r="P12" s="546"/>
    </row>
    <row r="13" spans="1:16" s="547" customFormat="1" ht="10" customHeight="1" x14ac:dyDescent="0.3">
      <c r="A13" s="483"/>
      <c r="B13" s="476"/>
      <c r="C13" s="487"/>
      <c r="D13" s="487"/>
      <c r="E13" s="488"/>
      <c r="F13" s="489"/>
      <c r="G13" s="490"/>
      <c r="H13" s="491"/>
      <c r="I13" s="488"/>
      <c r="J13" s="490"/>
      <c r="K13" s="482"/>
      <c r="L13" s="483"/>
      <c r="M13" s="545"/>
      <c r="N13" s="483"/>
      <c r="O13" s="546"/>
      <c r="P13" s="546"/>
    </row>
    <row r="14" spans="1:16" s="495" customFormat="1" ht="35" customHeight="1" x14ac:dyDescent="0.3">
      <c r="A14" s="469"/>
      <c r="B14" s="757"/>
      <c r="C14" s="635">
        <v>1</v>
      </c>
      <c r="D14" s="492" t="s">
        <v>7</v>
      </c>
      <c r="E14" s="750" t="str">
        <f>IF(VLOOKUP(CONCATENATE($C$2,"-",$D14),Languages!$A:$D,1,TRUE)=CONCATENATE($C$2,"-",$D14),VLOOKUP(CONCATENATE($C$2,"-",$D14),Languages!$A:$D,Kybermittari!$C$7,TRUE),NA())</f>
        <v>Havaitut kybertapahtumat raportoidaan - ainakin tapauskohtaisesti - nimetylle henkilölle tai roolille, joka rekisteröi tapahtumat.</v>
      </c>
      <c r="F14" s="750"/>
      <c r="G14" s="750"/>
      <c r="H14" s="493">
        <f t="shared" ref="H14" si="0">IFERROR(INT(LEFT($I14,1)),0)</f>
        <v>0</v>
      </c>
      <c r="I14" s="54"/>
      <c r="J14" s="526"/>
      <c r="K14" s="494"/>
      <c r="L14" s="483"/>
      <c r="M14" s="545"/>
      <c r="N14" s="483"/>
    </row>
    <row r="15" spans="1:16" s="495" customFormat="1" ht="10" customHeight="1" x14ac:dyDescent="0.3">
      <c r="A15" s="469"/>
      <c r="B15" s="757"/>
      <c r="C15" s="498"/>
      <c r="D15" s="499"/>
      <c r="E15" s="501"/>
      <c r="F15" s="501"/>
      <c r="G15" s="501"/>
      <c r="H15" s="499"/>
      <c r="I15" s="502"/>
      <c r="J15" s="502"/>
      <c r="K15" s="494"/>
      <c r="L15" s="483"/>
      <c r="M15" s="545"/>
      <c r="N15" s="483"/>
    </row>
    <row r="16" spans="1:16" s="495" customFormat="1" ht="35" customHeight="1" x14ac:dyDescent="0.3">
      <c r="A16" s="469"/>
      <c r="B16" s="757"/>
      <c r="C16" s="759">
        <v>2</v>
      </c>
      <c r="D16" s="492" t="s">
        <v>9</v>
      </c>
      <c r="E16" s="750" t="str">
        <f>IF(VLOOKUP(CONCATENATE($C$2,"-",$D16),Languages!$A:$D,1,TRUE)=CONCATENATE($C$2,"-",$D16),VLOOKUP(CONCATENATE($C$2,"-",$D16),Languages!$A:$D,Kybermittari!$C$7,TRUE),NA())</f>
        <v>Kybertapahtumien havaitsemiselle on määritelty kriteerit (esim. tapahtuman määritelmä, mistä tapahtumia etsitään).</v>
      </c>
      <c r="F16" s="750"/>
      <c r="G16" s="750"/>
      <c r="H16" s="493">
        <f>IFERROR(INT(LEFT($I16,1)),0)</f>
        <v>0</v>
      </c>
      <c r="I16" s="54"/>
      <c r="J16" s="526"/>
      <c r="K16" s="494"/>
      <c r="L16" s="469"/>
      <c r="M16" s="545"/>
      <c r="N16" s="469"/>
    </row>
    <row r="17" spans="1:16" s="495" customFormat="1" ht="35" customHeight="1" x14ac:dyDescent="0.3">
      <c r="A17" s="469"/>
      <c r="B17" s="757"/>
      <c r="C17" s="761"/>
      <c r="D17" s="492" t="s">
        <v>10</v>
      </c>
      <c r="E17" s="750" t="str">
        <f>IF(VLOOKUP(CONCATENATE($C$2,"-",$D17),Languages!$A:$D,1,TRUE)=CONCATENATE($C$2,"-",$D17),VLOOKUP(CONCATENATE($C$2,"-",$D17),Languages!$A:$D,Kybermittari!$C$7,TRUE),NA())</f>
        <v>Kybertapahtumat kirjataan keskitetysti organisaation määrittämien kriteerien mukaisesti.</v>
      </c>
      <c r="F17" s="750"/>
      <c r="G17" s="750"/>
      <c r="H17" s="493">
        <f>IFERROR(INT(LEFT($I17,1)),0)</f>
        <v>0</v>
      </c>
      <c r="I17" s="54"/>
      <c r="J17" s="526"/>
      <c r="K17" s="494"/>
      <c r="L17" s="469"/>
      <c r="M17" s="545"/>
      <c r="N17" s="469"/>
    </row>
    <row r="18" spans="1:16" s="495" customFormat="1" ht="10" customHeight="1" x14ac:dyDescent="0.3">
      <c r="A18" s="469"/>
      <c r="B18" s="757"/>
      <c r="C18" s="498"/>
      <c r="D18" s="499"/>
      <c r="E18" s="501"/>
      <c r="F18" s="501"/>
      <c r="G18" s="501"/>
      <c r="H18" s="499"/>
      <c r="I18" s="502"/>
      <c r="J18" s="502"/>
      <c r="K18" s="494"/>
      <c r="L18" s="469"/>
      <c r="M18" s="545"/>
      <c r="N18" s="469"/>
    </row>
    <row r="19" spans="1:16" s="495" customFormat="1" ht="35" customHeight="1" x14ac:dyDescent="0.3">
      <c r="A19" s="469"/>
      <c r="B19" s="757"/>
      <c r="C19" s="759">
        <v>3</v>
      </c>
      <c r="D19" s="492" t="s">
        <v>11</v>
      </c>
      <c r="E19" s="750" t="str">
        <f>IF(VLOOKUP(CONCATENATE($C$2,"-",$D19),Languages!$A:$D,1,TRUE)=CONCATENATE($C$2,"-",$D19),VLOOKUP(CONCATENATE($C$2,"-",$D19),Languages!$A:$D,Kybermittari!$C$7,TRUE),NA())</f>
        <v>Tapahtumatietoja korreloidaan ja analysoidaan, jotta tunnistetaan mahdolliset säännönmukaisuudet, kehityssuunnat ja muut yhteiset piirteet.</v>
      </c>
      <c r="F19" s="750"/>
      <c r="G19" s="750"/>
      <c r="H19" s="493">
        <f>IFERROR(INT(LEFT($I19,1)),0)</f>
        <v>0</v>
      </c>
      <c r="I19" s="54"/>
      <c r="J19" s="526"/>
      <c r="K19" s="494"/>
      <c r="L19" s="549"/>
      <c r="M19" s="545"/>
      <c r="N19" s="549"/>
    </row>
    <row r="20" spans="1:16" s="495" customFormat="1" ht="60" customHeight="1" x14ac:dyDescent="0.3">
      <c r="A20" s="469"/>
      <c r="B20" s="757"/>
      <c r="C20" s="760"/>
      <c r="D20" s="492" t="s">
        <v>12</v>
      </c>
      <c r="E20" s="750" t="str">
        <f>IF(VLOOKUP(CONCATENATE($C$2,"-",$D20),Languages!$A:$D,1,TRUE)=CONCATENATE($C$2,"-",$D20),VLOOKUP(CONCATENATE($C$2,"-",$D20),Languages!$A:$D,Kybermittari!$C$7,TRUE),NA())</f>
        <v>Kybertapahtumien havaitsemistoimintoja ja -kyvykkyyttä kehitetään organisaation riskirekisterin [kts. RISK-1d] ja uhkaprofiilin [kts. THREAT-1d] tietojen perusteella  tunnettujen uhkien havaitsemiseksi ja tunnistettujen riskien seuraamiseksi.</v>
      </c>
      <c r="F20" s="750"/>
      <c r="G20" s="750"/>
      <c r="H20" s="493">
        <f>IFERROR(INT(LEFT($I20,1)),0)</f>
        <v>0</v>
      </c>
      <c r="I20" s="54"/>
      <c r="J20" s="526"/>
      <c r="K20" s="494"/>
      <c r="L20" s="469"/>
      <c r="M20" s="545"/>
      <c r="N20" s="469"/>
    </row>
    <row r="21" spans="1:16" s="495" customFormat="1" ht="35" customHeight="1" x14ac:dyDescent="0.3">
      <c r="A21" s="469"/>
      <c r="B21" s="757"/>
      <c r="C21" s="761"/>
      <c r="D21" s="492" t="s">
        <v>13</v>
      </c>
      <c r="E21" s="756" t="str">
        <f>IF(VLOOKUP(CONCATENATE($C$2,"-",$D21),Languages!$A:$D,1,TRUE)=CONCATENATE($C$2,"-",$D21),VLOOKUP(CONCATENATE($C$2,"-",$D21),Languages!$A:$D,Kybermittari!$C$7,TRUE),NA())</f>
        <v>Kybertapahtumien tunnistamiseen käytetään organisaation koostamaa tilannekuvaa [kts. SITUATION-2i].</v>
      </c>
      <c r="F21" s="756"/>
      <c r="G21" s="756"/>
      <c r="H21" s="493">
        <f>IFERROR(INT(LEFT($I21,1)),0)</f>
        <v>0</v>
      </c>
      <c r="I21" s="54"/>
      <c r="J21" s="526"/>
      <c r="K21" s="494"/>
      <c r="L21" s="469"/>
      <c r="M21" s="545"/>
      <c r="N21" s="469"/>
    </row>
    <row r="22" spans="1:16" s="343" customFormat="1" ht="30" customHeight="1" x14ac:dyDescent="0.25">
      <c r="A22" s="332"/>
      <c r="B22" s="461"/>
      <c r="C22" s="336">
        <v>2</v>
      </c>
      <c r="D22" s="336" t="str">
        <f>IF(VLOOKUP(CONCATENATE($C$2,"-",C22),Languages!$A:$D,1,TRUE)=CONCATENATE($C$2,"-",C22),VLOOKUP(CONCATENATE($C$2,"-",C22),Languages!$A:$D,Kybermittari!$C$7,TRUE),NA())</f>
        <v>Kybertapahtumien analysointi ja häiriöksi korottaminen</v>
      </c>
      <c r="E22" s="336"/>
      <c r="F22" s="506"/>
      <c r="G22" s="506"/>
      <c r="H22" s="506"/>
      <c r="I22" s="506" t="s">
        <v>19</v>
      </c>
      <c r="J22" s="507"/>
      <c r="K22" s="339"/>
      <c r="L22" s="347"/>
      <c r="M22" s="533"/>
      <c r="N22" s="347"/>
      <c r="O22" s="341"/>
      <c r="P22" s="341"/>
    </row>
    <row r="23" spans="1:16" s="475" customFormat="1" ht="60" customHeight="1" x14ac:dyDescent="0.3">
      <c r="A23" s="469"/>
      <c r="B23" s="470"/>
      <c r="C23" s="753" t="str">
        <f>IF(VLOOKUP(CONCATENATE($C$2,"-",$C22,"-0"),Languages!$A:$D,1,TRUE)=CONCATENATE($C$2,"-",$C22,"-0"),VLOOKUP(CONCATENATE($C$2,"-",$C22,"-0"),Languages!$A:$D,Kybermittari!$C$7,TRUE),NA())</f>
        <v>Kybertapahtumien eskalointi sisältää kohdassa "Kybertapahtumien havainnointi" mainittujen  arviointiperusteiden soveltamista ja sellaisten tilanteiden tunnistamista, joissa kybertapahtumaa tulee käsitellä ennalta määritettyjen suunnitelmien mukaisesti. Eskaloidut kybertapahtumat ja -häiriöt voivat johtaa ulkoisiin velvoitteisiin kuten esimerkiksi viranomaisraportointiin tai asiakkaiden tiedottamiseen. Useampien kybertapahtumien ja häiriöiden korrelointi keskenään saattaa paljastaa systemaattisia ongelmia ympäristössä.</v>
      </c>
      <c r="D23" s="753"/>
      <c r="E23" s="753"/>
      <c r="F23" s="753"/>
      <c r="G23" s="753"/>
      <c r="H23" s="753"/>
      <c r="I23" s="753"/>
      <c r="J23" s="753"/>
      <c r="K23" s="471"/>
      <c r="L23" s="524"/>
      <c r="M23" s="545"/>
      <c r="N23" s="524"/>
      <c r="O23" s="473"/>
      <c r="P23" s="473"/>
    </row>
    <row r="24" spans="1:16" s="547" customFormat="1" ht="20" customHeight="1" x14ac:dyDescent="0.3">
      <c r="A24" s="483"/>
      <c r="B24" s="476"/>
      <c r="C24" s="477" t="str">
        <f>IF(VLOOKUP("GEN-LEVEL",Languages!$A:$D,1,TRUE)="GEN-LEVEL",VLOOKUP("GEN-LEVEL",Languages!$A:$D,Kybermittari!$C$7,TRUE),NA())</f>
        <v>Taso</v>
      </c>
      <c r="D24" s="477"/>
      <c r="E24" s="478" t="str">
        <f>IF(VLOOKUP("GEN-PRACTICE",Languages!$A:$D,1,TRUE)="GEN-PRACTICE",VLOOKUP("GEN-PRACTICE",Languages!$A:$D,Kybermittari!$C$7,TRUE),NA())</f>
        <v>Käytäntö</v>
      </c>
      <c r="F24" s="479"/>
      <c r="G24" s="480"/>
      <c r="H24" s="481"/>
      <c r="I24" s="478" t="str">
        <f>IF(VLOOKUP("GEN-ANSWER",Languages!$A:$D,1,TRUE)="GEN-ANSWER",VLOOKUP("GEN-ANSWER",Languages!$A:$D,Kybermittari!$C$7,TRUE),NA())</f>
        <v>Vastaus</v>
      </c>
      <c r="J24" s="480" t="str">
        <f>IF(VLOOKUP("GEN-COMMENT",Languages!$A:$D,1,TRUE)="GEN-COMMENT",VLOOKUP("GEN-COMMENT",Languages!$A:$D,Kybermittari!$C$7,TRUE),NA())</f>
        <v>Kommentti ja viittaukset</v>
      </c>
      <c r="K24" s="482"/>
      <c r="L24" s="524"/>
      <c r="M24" s="545"/>
      <c r="N24" s="524"/>
      <c r="O24" s="546"/>
      <c r="P24" s="546"/>
    </row>
    <row r="25" spans="1:16" s="547" customFormat="1" ht="10" customHeight="1" x14ac:dyDescent="0.3">
      <c r="A25" s="483"/>
      <c r="B25" s="476"/>
      <c r="C25" s="487"/>
      <c r="D25" s="487"/>
      <c r="E25" s="488"/>
      <c r="F25" s="489"/>
      <c r="G25" s="490"/>
      <c r="H25" s="491"/>
      <c r="I25" s="488"/>
      <c r="J25" s="490"/>
      <c r="K25" s="482"/>
      <c r="L25" s="524"/>
      <c r="M25" s="545"/>
      <c r="N25" s="524"/>
      <c r="O25" s="546"/>
      <c r="P25" s="546"/>
    </row>
    <row r="26" spans="1:16" s="510" customFormat="1" ht="35" customHeight="1" x14ac:dyDescent="0.3">
      <c r="A26" s="524"/>
      <c r="B26" s="749"/>
      <c r="C26" s="765">
        <v>1</v>
      </c>
      <c r="D26" s="508" t="s">
        <v>20</v>
      </c>
      <c r="E26" s="750" t="str">
        <f>IF(VLOOKUP(CONCATENATE($C$2,"-",$D26),Languages!$A:$D,1,TRUE)=CONCATENATE($C$2,"-",$D26),VLOOKUP(CONCATENATE($C$2,"-",$D26),Languages!$A:$D,Kybermittari!$C$7,TRUE),NA())</f>
        <v>Kyberhäiriöiden tunnistamiselle on määritetty kriteeristö ("criteria for declaring incidents") - vaikka ei välttämättä systemaattisesti ja kaiken kattavasti.</v>
      </c>
      <c r="F26" s="750"/>
      <c r="G26" s="750"/>
      <c r="H26" s="493">
        <f>IFERROR(INT(LEFT($I26,1)),0)</f>
        <v>0</v>
      </c>
      <c r="I26" s="54"/>
      <c r="J26" s="526"/>
      <c r="K26" s="509"/>
      <c r="L26" s="524"/>
      <c r="M26" s="545"/>
      <c r="N26" s="524"/>
      <c r="O26" s="495"/>
      <c r="P26" s="495"/>
    </row>
    <row r="27" spans="1:16" s="510" customFormat="1" ht="35" customHeight="1" x14ac:dyDescent="0.3">
      <c r="A27" s="524"/>
      <c r="B27" s="749"/>
      <c r="C27" s="767"/>
      <c r="D27" s="508" t="s">
        <v>21</v>
      </c>
      <c r="E27" s="750" t="str">
        <f>IF(VLOOKUP(CONCATENATE($C$2,"-",$D27),Languages!$A:$D,1,TRUE)=CONCATENATE($C$2,"-",$D27),VLOOKUP(CONCATENATE($C$2,"-",$D27),Languages!$A:$D,Kybermittari!$C$7,TRUE),NA())</f>
        <v>Kybertapahtumat analysoidaan, jotta häiriöiden tunnistaminen voidaan tehdä - ainakin tapauskohtaisesti.</v>
      </c>
      <c r="F27" s="750"/>
      <c r="G27" s="750"/>
      <c r="H27" s="493">
        <f>IFERROR(INT(LEFT($I27,1)),0)</f>
        <v>0</v>
      </c>
      <c r="I27" s="54"/>
      <c r="J27" s="527"/>
      <c r="K27" s="509"/>
      <c r="L27" s="524"/>
      <c r="M27" s="545"/>
      <c r="N27" s="524"/>
      <c r="O27" s="495"/>
      <c r="P27" s="495"/>
    </row>
    <row r="28" spans="1:16" s="510" customFormat="1" ht="10" customHeight="1" x14ac:dyDescent="0.3">
      <c r="A28" s="524"/>
      <c r="B28" s="511"/>
      <c r="C28" s="565"/>
      <c r="D28" s="513"/>
      <c r="E28" s="501"/>
      <c r="F28" s="501"/>
      <c r="G28" s="501"/>
      <c r="H28" s="499"/>
      <c r="I28" s="502"/>
      <c r="J28" s="514"/>
      <c r="K28" s="509"/>
      <c r="L28" s="524"/>
      <c r="M28" s="545"/>
      <c r="N28" s="524"/>
      <c r="O28" s="495"/>
      <c r="P28" s="495"/>
    </row>
    <row r="29" spans="1:16" s="510" customFormat="1" ht="46" customHeight="1" x14ac:dyDescent="0.3">
      <c r="A29" s="524"/>
      <c r="B29" s="749"/>
      <c r="C29" s="765">
        <v>2</v>
      </c>
      <c r="D29" s="508" t="s">
        <v>22</v>
      </c>
      <c r="E29" s="750" t="str">
        <f>IF(VLOOKUP(CONCATENATE($C$2,"-",$D29),Languages!$A:$D,1,TRUE)=CONCATENATE($C$2,"-",$D29),VLOOKUP(CONCATENATE($C$2,"-",$D29),Languages!$A:$D,Kybermittari!$C$7,TRUE),NA())</f>
        <v>Kyberhäiriöiden tunnistamiseen käytetään virallisia kriteerejä, jotka perustuvat häiriön mahdolliseen vaikutukseen toiminnan osa-alueella [kts. RISK-1c].</v>
      </c>
      <c r="F29" s="750"/>
      <c r="G29" s="750"/>
      <c r="H29" s="493">
        <f>IFERROR(INT(LEFT($I29,1)),0)</f>
        <v>0</v>
      </c>
      <c r="I29" s="54"/>
      <c r="J29" s="527"/>
      <c r="K29" s="509"/>
      <c r="L29" s="524"/>
      <c r="M29" s="545"/>
      <c r="N29" s="524"/>
      <c r="O29" s="495"/>
      <c r="P29" s="495"/>
    </row>
    <row r="30" spans="1:16" s="510" customFormat="1" ht="35" customHeight="1" x14ac:dyDescent="0.3">
      <c r="A30" s="524"/>
      <c r="B30" s="749"/>
      <c r="C30" s="766"/>
      <c r="D30" s="508" t="s">
        <v>23</v>
      </c>
      <c r="E30" s="750" t="str">
        <f>IF(VLOOKUP(CONCATENATE($C$2,"-",$D30),Languages!$A:$D,1,TRUE)=CONCATENATE($C$2,"-",$D30),VLOOKUP(CONCATENATE($C$2,"-",$D30),Languages!$A:$D,Kybermittari!$C$7,TRUE),NA())</f>
        <v>Kyberhäiriöiden tunnistamisen kriteerit päivitetään organisaation määrittämin aikavälein.</v>
      </c>
      <c r="F30" s="750"/>
      <c r="G30" s="750"/>
      <c r="H30" s="493">
        <f>IFERROR(INT(LEFT($I30,1)),0)</f>
        <v>0</v>
      </c>
      <c r="I30" s="54"/>
      <c r="J30" s="527"/>
      <c r="K30" s="509"/>
      <c r="L30" s="524"/>
      <c r="M30" s="545"/>
      <c r="N30" s="524"/>
      <c r="O30" s="495"/>
      <c r="P30" s="495"/>
    </row>
    <row r="31" spans="1:16" s="510" customFormat="1" ht="35" customHeight="1" x14ac:dyDescent="0.3">
      <c r="A31" s="524"/>
      <c r="B31" s="749"/>
      <c r="C31" s="766"/>
      <c r="D31" s="508" t="s">
        <v>24</v>
      </c>
      <c r="E31" s="750" t="str">
        <f>IF(VLOOKUP(CONCATENATE($C$2,"-",$D31),Languages!$A:$D,1,TRUE)=CONCATENATE($C$2,"-",$D31),VLOOKUP(CONCATENATE($C$2,"-",$D31),Languages!$A:$D,Kybermittari!$C$7,TRUE),NA())</f>
        <v>Tapahtumien eskalointi perustuu määritettyihin kriteereihin.</v>
      </c>
      <c r="F31" s="750"/>
      <c r="G31" s="750"/>
      <c r="H31" s="493">
        <f>IFERROR(INT(LEFT($I31,1)),0)</f>
        <v>0</v>
      </c>
      <c r="I31" s="54"/>
      <c r="J31" s="527"/>
      <c r="K31" s="509"/>
      <c r="L31" s="618"/>
      <c r="M31" s="545"/>
      <c r="N31" s="618"/>
      <c r="O31" s="495"/>
      <c r="P31" s="495"/>
    </row>
    <row r="32" spans="1:16" s="510" customFormat="1" ht="47" customHeight="1" x14ac:dyDescent="0.3">
      <c r="A32" s="524"/>
      <c r="B32" s="749"/>
      <c r="C32" s="766"/>
      <c r="D32" s="508" t="s">
        <v>112</v>
      </c>
      <c r="E32" s="750" t="str">
        <f>IF(VLOOKUP(CONCATENATE($C$2,"-",$D32),Languages!$A:$D,1,TRUE)=CONCATENATE($C$2,"-",$D32),VLOOKUP(CONCATENATE($C$2,"-",$D32),Languages!$A:$D,Kybermittari!$C$7,TRUE),NA())</f>
        <v>Eskaloidut kybertapahtumat ja kyberhäiriöt kirjataan rekisteriin ("logged") ja niiden tilannetta seurataan rekisterissä kunnes ne voidaan merkitä suljetuiksi ("tracked until closure").</v>
      </c>
      <c r="F32" s="750"/>
      <c r="G32" s="750"/>
      <c r="H32" s="493">
        <f>IFERROR(INT(LEFT($I32,1)),0)</f>
        <v>0</v>
      </c>
      <c r="I32" s="54"/>
      <c r="J32" s="527"/>
      <c r="K32" s="509"/>
      <c r="L32" s="524"/>
      <c r="M32" s="545"/>
      <c r="N32" s="524"/>
      <c r="O32" s="495"/>
      <c r="P32" s="495"/>
    </row>
    <row r="33" spans="1:16" s="510" customFormat="1" ht="75" customHeight="1" x14ac:dyDescent="0.3">
      <c r="A33" s="524"/>
      <c r="B33" s="749"/>
      <c r="C33" s="767"/>
      <c r="D33" s="508" t="s">
        <v>176</v>
      </c>
      <c r="E33" s="750" t="str">
        <f>IF(VLOOKUP(CONCATENATE($C$2,"-",$D33),Languages!$A:$D,1,TRUE)=CONCATENATE($C$2,"-",$D33),VLOOKUP(CONCATENATE($C$2,"-",$D33),Languages!$A:$D,Kybermittari!$C$7,TRUE),NA())</f>
        <v>Kyberturvallisuuden sidosryhmät (esim. valtio, liitännäiset organisaatiot, toimittajat, toimialan muut organisaatiot, sääntelyviranomaiset tai organisaation sisäiset tahot) on tunnistettu ja heille ilmoitetaan kybertapahtumista ja -häiriöistä organisaation määrittelemien kriteereiden perusteella [kts. SITUATION-3d].</v>
      </c>
      <c r="F33" s="750"/>
      <c r="G33" s="750"/>
      <c r="H33" s="493">
        <f>IFERROR(INT(LEFT($I33,1)),0)</f>
        <v>0</v>
      </c>
      <c r="I33" s="54"/>
      <c r="J33" s="527"/>
      <c r="K33" s="509"/>
      <c r="L33" s="483"/>
      <c r="M33" s="545"/>
      <c r="N33" s="523"/>
      <c r="O33" s="495"/>
      <c r="P33" s="495"/>
    </row>
    <row r="34" spans="1:16" s="510" customFormat="1" ht="10" customHeight="1" x14ac:dyDescent="0.3">
      <c r="A34" s="524"/>
      <c r="B34" s="749"/>
      <c r="C34" s="565"/>
      <c r="D34" s="513"/>
      <c r="E34" s="501"/>
      <c r="F34" s="501"/>
      <c r="G34" s="501"/>
      <c r="H34" s="499"/>
      <c r="I34" s="502"/>
      <c r="J34" s="514"/>
      <c r="K34" s="509"/>
      <c r="L34" s="483"/>
      <c r="M34" s="545"/>
      <c r="N34" s="523"/>
      <c r="O34" s="495"/>
      <c r="P34" s="495"/>
    </row>
    <row r="35" spans="1:16" s="510" customFormat="1" ht="35" customHeight="1" x14ac:dyDescent="0.3">
      <c r="A35" s="524"/>
      <c r="B35" s="749"/>
      <c r="C35" s="765">
        <v>3</v>
      </c>
      <c r="D35" s="508" t="s">
        <v>178</v>
      </c>
      <c r="E35" s="750" t="str">
        <f>IF(VLOOKUP(CONCATENATE($C$2,"-",$D35),Languages!$A:$D,1,TRUE)=CONCATENATE($C$2,"-",$D35),VLOOKUP(CONCATENATE($C$2,"-",$D35),Languages!$A:$D,Kybermittari!$C$7,TRUE),NA())</f>
        <v>Kyberhäiriöiden ilmoituskriteerit noudattelevat organisaation yleisiä riskikriteereitä [kts. RISK-2b].</v>
      </c>
      <c r="F35" s="750"/>
      <c r="G35" s="750"/>
      <c r="H35" s="493">
        <f>IFERROR(INT(LEFT($I35,1)),0)</f>
        <v>0</v>
      </c>
      <c r="I35" s="54"/>
      <c r="J35" s="527"/>
      <c r="K35" s="509"/>
      <c r="L35" s="483"/>
      <c r="M35" s="545"/>
      <c r="N35" s="523"/>
      <c r="O35" s="495"/>
      <c r="P35" s="495"/>
    </row>
    <row r="36" spans="1:16" s="510" customFormat="1" ht="35" customHeight="1" x14ac:dyDescent="0.3">
      <c r="A36" s="524"/>
      <c r="B36" s="749"/>
      <c r="C36" s="767"/>
      <c r="D36" s="508" t="s">
        <v>209</v>
      </c>
      <c r="E36" s="750" t="str">
        <f>IF(VLOOKUP(CONCATENATE($C$2,"-",$D36),Languages!$A:$D,1,TRUE)=CONCATENATE($C$2,"-",$D36),VLOOKUP(CONCATENATE($C$2,"-",$D36),Languages!$A:$D,Kybermittari!$C$7,TRUE),NA())</f>
        <v>Kyberhäiriöitä verrataan toisiinsa säännönmukaisuuksien ("patterns"), suuntausten ("trends") ja muiden yhteisten piirteiden tunnistamiseksi.</v>
      </c>
      <c r="F36" s="750"/>
      <c r="G36" s="750"/>
      <c r="H36" s="493">
        <f>IFERROR(INT(LEFT($I36,1)),0)</f>
        <v>0</v>
      </c>
      <c r="I36" s="54"/>
      <c r="J36" s="527"/>
      <c r="K36" s="509"/>
      <c r="L36" s="483"/>
      <c r="M36" s="545"/>
      <c r="N36" s="523"/>
      <c r="O36" s="495"/>
      <c r="P36" s="495"/>
    </row>
    <row r="37" spans="1:16" s="343" customFormat="1" ht="30" customHeight="1" x14ac:dyDescent="0.25">
      <c r="A37" s="332"/>
      <c r="B37" s="461"/>
      <c r="C37" s="336">
        <v>3</v>
      </c>
      <c r="D37" s="336" t="str">
        <f>IF(VLOOKUP(CONCATENATE($C$2,"-",C37),Languages!$A:$D,1,TRUE)=CONCATENATE($C$2,"-",C37),VLOOKUP(CONCATENATE($C$2,"-",C37),Languages!$A:$D,Kybermittari!$C$7,TRUE),NA())</f>
        <v>Kybertapahtumiin ja -häiriötilanteisiin reagointi</v>
      </c>
      <c r="E37" s="336"/>
      <c r="F37" s="506"/>
      <c r="G37" s="506"/>
      <c r="H37" s="506"/>
      <c r="I37" s="506" t="s">
        <v>19</v>
      </c>
      <c r="J37" s="507"/>
      <c r="K37" s="339"/>
      <c r="L37" s="332"/>
      <c r="M37" s="533"/>
      <c r="N37" s="636"/>
      <c r="O37" s="341"/>
      <c r="P37" s="341"/>
    </row>
    <row r="38" spans="1:16" s="510" customFormat="1" ht="59.5" customHeight="1" x14ac:dyDescent="0.3">
      <c r="A38" s="524"/>
      <c r="B38" s="511"/>
      <c r="C38" s="753" t="str">
        <f>IF(VLOOKUP(CONCATENATE($C$2,"-",$C37,"-0"),Languages!$A:$D,1,TRUE)=CONCATENATE($C$2,"-",$C37,"-0"),VLOOKUP(CONCATENATE($C$2,"-",$C37,"-0"),Languages!$A:$D,Kybermittari!$C$7,TRUE),NA())</f>
        <v>Kyberhäiriöihin reagoiminen edellyttää organisaatiolta prosessia, jolla voidaan rajata kyberhäiriöiden vaikutusta muihin toimintoihin. Prosessin tulee kuvata miten organisaatio hallitsee häiriön koko elinkaarta (esim. triage, käsittely, kommunikointi, koordinointi ja sulkeminen). Saatujen kokemusten arviointi osana kybertapahtumien ja -häiriöiden hoitamista auttaa organisaatiota poistamaan haavoittuvuudet, jotka johtivat poikkeamaan.</v>
      </c>
      <c r="D38" s="753"/>
      <c r="E38" s="753"/>
      <c r="F38" s="753"/>
      <c r="G38" s="753"/>
      <c r="H38" s="753"/>
      <c r="I38" s="753"/>
      <c r="J38" s="753"/>
      <c r="K38" s="509"/>
      <c r="L38" s="524"/>
      <c r="M38" s="545"/>
      <c r="N38" s="524"/>
      <c r="O38" s="495"/>
      <c r="P38" s="495"/>
    </row>
    <row r="39" spans="1:16" s="547" customFormat="1" ht="20" customHeight="1" x14ac:dyDescent="0.3">
      <c r="A39" s="483"/>
      <c r="B39" s="476"/>
      <c r="C39" s="477" t="str">
        <f>IF(VLOOKUP("GEN-LEVEL",Languages!$A:$D,1,TRUE)="GEN-LEVEL",VLOOKUP("GEN-LEVEL",Languages!$A:$D,Kybermittari!$C$7,TRUE),NA())</f>
        <v>Taso</v>
      </c>
      <c r="D39" s="477"/>
      <c r="E39" s="478" t="str">
        <f>IF(VLOOKUP("GEN-PRACTICE",Languages!$A:$D,1,TRUE)="GEN-PRACTICE",VLOOKUP("GEN-PRACTICE",Languages!$A:$D,Kybermittari!$C$7,TRUE),NA())</f>
        <v>Käytäntö</v>
      </c>
      <c r="F39" s="479"/>
      <c r="G39" s="480"/>
      <c r="H39" s="481"/>
      <c r="I39" s="478" t="str">
        <f>IF(VLOOKUP("GEN-ANSWER",Languages!$A:$D,1,TRUE)="GEN-ANSWER",VLOOKUP("GEN-ANSWER",Languages!$A:$D,Kybermittari!$C$7,TRUE),NA())</f>
        <v>Vastaus</v>
      </c>
      <c r="J39" s="480" t="str">
        <f>IF(VLOOKUP("GEN-COMMENT",Languages!$A:$D,1,TRUE)="GEN-COMMENT",VLOOKUP("GEN-COMMENT",Languages!$A:$D,Kybermittari!$C$7,TRUE),NA())</f>
        <v>Kommentti ja viittaukset</v>
      </c>
      <c r="K39" s="482"/>
      <c r="L39" s="524"/>
      <c r="M39" s="545"/>
      <c r="N39" s="524"/>
      <c r="O39" s="546"/>
      <c r="P39" s="546"/>
    </row>
    <row r="40" spans="1:16" s="547" customFormat="1" ht="10" customHeight="1" x14ac:dyDescent="0.3">
      <c r="A40" s="483"/>
      <c r="B40" s="476"/>
      <c r="C40" s="487"/>
      <c r="D40" s="487"/>
      <c r="E40" s="488"/>
      <c r="F40" s="489"/>
      <c r="G40" s="490"/>
      <c r="H40" s="491"/>
      <c r="I40" s="488"/>
      <c r="J40" s="490"/>
      <c r="K40" s="482"/>
      <c r="L40" s="524"/>
      <c r="M40" s="545"/>
      <c r="N40" s="524"/>
      <c r="O40" s="546"/>
      <c r="P40" s="546"/>
    </row>
    <row r="41" spans="1:16" s="510" customFormat="1" ht="35" customHeight="1" x14ac:dyDescent="0.3">
      <c r="A41" s="524"/>
      <c r="B41" s="511"/>
      <c r="C41" s="768">
        <v>1</v>
      </c>
      <c r="D41" s="508" t="s">
        <v>25</v>
      </c>
      <c r="E41" s="750" t="str">
        <f>IF(VLOOKUP(CONCATENATE($C$2,"-",$D41),Languages!$A:$D,1,TRUE)=CONCATENATE($C$2,"-",$D41),VLOOKUP(CONCATENATE($C$2,"-",$D41),Languages!$A:$D,Kybermittari!$C$7,TRUE),NA())</f>
        <v>Kybertapahtumiin ja -häiriöihin reagointiin ("incident response") on nimetty roolit ja henkilöt - vaikka ei välttämättä systemaattisesti ja kaiken kattavasti.</v>
      </c>
      <c r="F41" s="750"/>
      <c r="G41" s="750"/>
      <c r="H41" s="493">
        <f>IFERROR(INT(LEFT($I41,1)),0)</f>
        <v>0</v>
      </c>
      <c r="I41" s="54"/>
      <c r="J41" s="527"/>
      <c r="K41" s="509"/>
      <c r="L41" s="524"/>
      <c r="M41" s="545"/>
      <c r="N41" s="524"/>
      <c r="O41" s="495"/>
      <c r="P41" s="495"/>
    </row>
    <row r="42" spans="1:16" s="510" customFormat="1" ht="47" customHeight="1" x14ac:dyDescent="0.3">
      <c r="A42" s="524"/>
      <c r="B42" s="511"/>
      <c r="C42" s="768"/>
      <c r="D42" s="508" t="s">
        <v>26</v>
      </c>
      <c r="E42" s="750" t="str">
        <f>IF(VLOOKUP(CONCATENATE($C$2,"-",$D42),Languages!$A:$D,1,TRUE)=CONCATENATE($C$2,"-",$D42),VLOOKUP(CONCATENATE($C$2,"-",$D42),Languages!$A:$D,Kybermittari!$C$7,TRUE),NA())</f>
        <v>Kybertapahtumiin- ja häiriöihin reagoidaan ("execute incident response") - ainakin tapauskohtaisesti - tavoitteena rajoittaa häiriön vaikutusta toiminnan osa-alueeseen ja toiminnan palauttamiseksi normaaliin.</v>
      </c>
      <c r="F42" s="750"/>
      <c r="G42" s="750"/>
      <c r="H42" s="493">
        <f>IFERROR(INT(LEFT($I42,1)),0)</f>
        <v>0</v>
      </c>
      <c r="I42" s="54"/>
      <c r="J42" s="527"/>
      <c r="K42" s="509"/>
      <c r="L42" s="524"/>
      <c r="M42" s="545"/>
      <c r="N42" s="524"/>
      <c r="O42" s="495"/>
      <c r="P42" s="495"/>
    </row>
    <row r="43" spans="1:16" s="510" customFormat="1" ht="35" customHeight="1" x14ac:dyDescent="0.3">
      <c r="A43" s="524"/>
      <c r="B43" s="511"/>
      <c r="C43" s="768"/>
      <c r="D43" s="508" t="s">
        <v>27</v>
      </c>
      <c r="E43" s="750" t="str">
        <f>IF(VLOOKUP(CONCATENATE($C$2,"-",$D43),Languages!$A:$D,1,TRUE)=CONCATENATE($C$2,"-",$D43),VLOOKUP(CONCATENATE($C$2,"-",$D43),Languages!$A:$D,Kybermittari!$C$7,TRUE),NA())</f>
        <v>Kybertapahtumat ja -häiriöt raportoidaan kyberturvallisuuden sidosryhmille - ainakin tapauskohtaisesti</v>
      </c>
      <c r="F43" s="750"/>
      <c r="G43" s="750"/>
      <c r="H43" s="493">
        <f>IFERROR(INT(LEFT($I43,1)),0)</f>
        <v>0</v>
      </c>
      <c r="I43" s="54"/>
      <c r="J43" s="527"/>
      <c r="K43" s="509"/>
      <c r="L43" s="524"/>
      <c r="M43" s="545"/>
      <c r="N43" s="524"/>
      <c r="O43" s="495"/>
      <c r="P43" s="495"/>
    </row>
    <row r="44" spans="1:16" s="510" customFormat="1" ht="10" customHeight="1" x14ac:dyDescent="0.3">
      <c r="A44" s="524"/>
      <c r="B44" s="511"/>
      <c r="C44" s="565"/>
      <c r="D44" s="513"/>
      <c r="E44" s="501"/>
      <c r="F44" s="501"/>
      <c r="G44" s="501"/>
      <c r="H44" s="499"/>
      <c r="I44" s="502"/>
      <c r="J44" s="514"/>
      <c r="K44" s="509"/>
      <c r="L44" s="524"/>
      <c r="M44" s="545"/>
      <c r="N44" s="524"/>
      <c r="O44" s="495"/>
      <c r="P44" s="495"/>
    </row>
    <row r="45" spans="1:16" s="510" customFormat="1" ht="47.5" customHeight="1" x14ac:dyDescent="0.3">
      <c r="A45" s="524"/>
      <c r="B45" s="511"/>
      <c r="C45" s="768">
        <v>2</v>
      </c>
      <c r="D45" s="508" t="s">
        <v>28</v>
      </c>
      <c r="E45" s="750" t="str">
        <f>IF(VLOOKUP(CONCATENATE($C$2,"-",$D45),Languages!$A:$D,1,TRUE)=CONCATENATE($C$2,"-",$D45),VLOOKUP(CONCATENATE($C$2,"-",$D45),Languages!$A:$D,Kybermittari!$C$7,TRUE),NA())</f>
        <v>Kyberhäiriöiden varalle on määritetty ja pidetään yllä reagointisuunnitelmia ("incident response plans"), jotka kattavat häiriöiden hallinnan kaikki vaiheet (kuten triage, eskalointi, käsittely, kommunikointi, koordinointi ja sulkeminen).</v>
      </c>
      <c r="F45" s="750"/>
      <c r="G45" s="750"/>
      <c r="H45" s="493">
        <f>IFERROR(INT(LEFT($I45,1)),0)</f>
        <v>0</v>
      </c>
      <c r="I45" s="54"/>
      <c r="J45" s="527"/>
      <c r="K45" s="509"/>
      <c r="L45" s="524"/>
      <c r="M45" s="545"/>
      <c r="N45" s="524"/>
      <c r="O45" s="495"/>
      <c r="P45" s="495"/>
    </row>
    <row r="46" spans="1:16" s="510" customFormat="1" ht="35" customHeight="1" x14ac:dyDescent="0.3">
      <c r="A46" s="524"/>
      <c r="B46" s="511"/>
      <c r="C46" s="768"/>
      <c r="D46" s="508" t="s">
        <v>29</v>
      </c>
      <c r="E46" s="750" t="str">
        <f>IF(VLOOKUP(CONCATENATE($C$2,"-",$D46),Languages!$A:$D,1,TRUE)=CONCATENATE($C$2,"-",$D46),VLOOKUP(CONCATENATE($C$2,"-",$D46),Languages!$A:$D,Kybermittari!$C$7,TRUE),NA())</f>
        <v>Kybertapahtumiin ja -häiriöihin reagoidaan ennalta määritettyjen suunnitelmien ja prosessien mukaisesti.</v>
      </c>
      <c r="F46" s="750"/>
      <c r="G46" s="750"/>
      <c r="H46" s="493">
        <f>IFERROR(INT(LEFT($I46,1)),0)</f>
        <v>0</v>
      </c>
      <c r="I46" s="54"/>
      <c r="J46" s="527"/>
      <c r="K46" s="509"/>
      <c r="L46" s="618"/>
      <c r="M46" s="545"/>
      <c r="N46" s="618"/>
      <c r="O46" s="495"/>
      <c r="P46" s="495"/>
    </row>
    <row r="47" spans="1:16" s="510" customFormat="1" ht="35" customHeight="1" x14ac:dyDescent="0.3">
      <c r="A47" s="524"/>
      <c r="B47" s="511"/>
      <c r="C47" s="768"/>
      <c r="D47" s="508" t="s">
        <v>30</v>
      </c>
      <c r="E47" s="750" t="str">
        <f>IF(VLOOKUP(CONCATENATE($C$2,"-",$D47),Languages!$A:$D,1,TRUE)=CONCATENATE($C$2,"-",$D47),VLOOKUP(CONCATENATE($C$2,"-",$D47),Languages!$A:$D,Kybermittari!$C$7,TRUE),NA())</f>
        <v>Kybertapahtumiin ja -häiriöihin reagoimista (ennalta märiteltyjen suunnitelmien mukaisesti) harjoitellaan organisaation määrittämin aikavälein.</v>
      </c>
      <c r="F47" s="750"/>
      <c r="G47" s="750"/>
      <c r="H47" s="493">
        <f>IFERROR(INT(LEFT($I47,1)),0)</f>
        <v>0</v>
      </c>
      <c r="I47" s="54"/>
      <c r="J47" s="527"/>
      <c r="K47" s="509"/>
      <c r="L47" s="524"/>
      <c r="M47" s="545"/>
      <c r="N47" s="524"/>
      <c r="O47" s="495"/>
      <c r="P47" s="495"/>
    </row>
    <row r="48" spans="1:16" s="510" customFormat="1" ht="10" customHeight="1" x14ac:dyDescent="0.3">
      <c r="A48" s="524"/>
      <c r="B48" s="511"/>
      <c r="C48" s="565"/>
      <c r="D48" s="513"/>
      <c r="E48" s="501"/>
      <c r="F48" s="501"/>
      <c r="G48" s="501"/>
      <c r="H48" s="499"/>
      <c r="I48" s="502"/>
      <c r="J48" s="514"/>
      <c r="K48" s="509"/>
      <c r="L48" s="524"/>
      <c r="M48" s="545"/>
      <c r="N48" s="524"/>
      <c r="O48" s="495"/>
      <c r="P48" s="495"/>
    </row>
    <row r="49" spans="1:16" s="510" customFormat="1" ht="47.5" customHeight="1" x14ac:dyDescent="0.3">
      <c r="A49" s="524"/>
      <c r="B49" s="511"/>
      <c r="C49" s="768">
        <v>3</v>
      </c>
      <c r="D49" s="508" t="s">
        <v>31</v>
      </c>
      <c r="E49" s="750" t="str">
        <f>IF(VLOOKUP(CONCATENATE($C$2,"-",$D49),Languages!$A:$D,1,TRUE)=CONCATENATE($C$2,"-",$D49),VLOOKUP(CONCATENATE($C$2,"-",$D49),Languages!$A:$D,Kybermittari!$C$7,TRUE),NA())</f>
        <v>Kybertapahtumien ja -häiriöiden juurisyyt analysoidaan ("root-cause analysis"), niistä otetaan opiksi ("lessons-learned") ja näiden pohjalta toteutetaan korjaavia toimenpiteitä (mkl. reagointisuunnitelmien päivitys).</v>
      </c>
      <c r="F49" s="750"/>
      <c r="G49" s="750"/>
      <c r="H49" s="493">
        <f>IFERROR(INT(LEFT($I49,1)),0)</f>
        <v>0</v>
      </c>
      <c r="I49" s="54"/>
      <c r="J49" s="527"/>
      <c r="K49" s="509"/>
      <c r="L49" s="483"/>
      <c r="M49" s="545"/>
      <c r="N49" s="523"/>
      <c r="O49" s="495"/>
      <c r="P49" s="495"/>
    </row>
    <row r="50" spans="1:16" s="510" customFormat="1" ht="47" customHeight="1" x14ac:dyDescent="0.3">
      <c r="A50" s="524"/>
      <c r="B50" s="511"/>
      <c r="C50" s="768"/>
      <c r="D50" s="508" t="s">
        <v>247</v>
      </c>
      <c r="E50" s="750" t="str">
        <f>IF(VLOOKUP(CONCATENATE($C$2,"-",$D50),Languages!$A:$D,1,TRUE)=CONCATENATE($C$2,"-",$D50),VLOOKUP(CONCATENATE($C$2,"-",$D50),Languages!$A:$D,Kybermittari!$C$7,TRUE),NA())</f>
        <v>Kybertapahtumiin ja -häiriöihin reagointi koordinoidaan tarvittaessa poliisin tai muiden viranomaisten kanssa, mukaan lukien todisteiden kerääminen ja säilyttäminen.</v>
      </c>
      <c r="F50" s="750"/>
      <c r="G50" s="750"/>
      <c r="H50" s="493">
        <f>IFERROR(INT(LEFT($I50,1)),0)</f>
        <v>0</v>
      </c>
      <c r="I50" s="54"/>
      <c r="J50" s="527"/>
      <c r="K50" s="509"/>
      <c r="L50" s="483"/>
      <c r="M50" s="545"/>
      <c r="N50" s="523"/>
      <c r="O50" s="495"/>
      <c r="P50" s="495"/>
    </row>
    <row r="51" spans="1:16" s="510" customFormat="1" ht="47" customHeight="1" x14ac:dyDescent="0.3">
      <c r="A51" s="524"/>
      <c r="B51" s="511"/>
      <c r="C51" s="768"/>
      <c r="D51" s="508" t="s">
        <v>280</v>
      </c>
      <c r="E51" s="750" t="str">
        <f>IF(VLOOKUP(CONCATENATE($C$2,"-",$D51),Languages!$A:$D,1,TRUE)=CONCATENATE($C$2,"-",$D51),VLOOKUP(CONCATENATE($C$2,"-",$D51),Languages!$A:$D,Kybermittari!$C$7,TRUE),NA())</f>
        <v>Kybertapahtumien ja -häiriöiden käsittelyyn ja reagointiin osallistuvat työntekijät ottavat osaa yhteisiin harjoituksiin muiden organisaatioiden kanssa (esim. työpöytäharjoitukset, simulaatiot).</v>
      </c>
      <c r="F51" s="750"/>
      <c r="G51" s="750"/>
      <c r="H51" s="493">
        <f>IFERROR(INT(LEFT($I51,1)),0)</f>
        <v>0</v>
      </c>
      <c r="I51" s="54"/>
      <c r="J51" s="527"/>
      <c r="K51" s="509"/>
      <c r="L51" s="483"/>
      <c r="M51" s="545"/>
      <c r="N51" s="523"/>
      <c r="O51" s="495"/>
      <c r="P51" s="495"/>
    </row>
    <row r="52" spans="1:16" s="510" customFormat="1" ht="35" customHeight="1" x14ac:dyDescent="0.3">
      <c r="A52" s="524"/>
      <c r="B52" s="511"/>
      <c r="C52" s="768"/>
      <c r="D52" s="508" t="s">
        <v>282</v>
      </c>
      <c r="E52" s="750" t="str">
        <f>IF(VLOOKUP(CONCATENATE($C$2,"-",$D52),Languages!$A:$D,1,TRUE)=CONCATENATE($C$2,"-",$D52),VLOOKUP(CONCATENATE($C$2,"-",$D52),Languages!$A:$D,Kybermittari!$C$7,TRUE),NA())</f>
        <v>Kybertapahtumiin ja -häiriöihin reagoinnissa noudatetaan organisaation ennalta määritettyjä toimintatapoja [kts. SITUATION-3h].</v>
      </c>
      <c r="F52" s="750"/>
      <c r="G52" s="750"/>
      <c r="H52" s="493">
        <f>IFERROR(INT(LEFT($I52,1)),0)</f>
        <v>0</v>
      </c>
      <c r="I52" s="54"/>
      <c r="J52" s="527"/>
      <c r="K52" s="509"/>
      <c r="L52" s="483"/>
      <c r="M52" s="545"/>
      <c r="N52" s="523"/>
      <c r="O52" s="495"/>
      <c r="P52" s="495"/>
    </row>
    <row r="53" spans="1:16" s="343" customFormat="1" ht="30" customHeight="1" x14ac:dyDescent="0.25">
      <c r="A53" s="332"/>
      <c r="B53" s="461"/>
      <c r="C53" s="336">
        <v>4</v>
      </c>
      <c r="D53" s="336" t="str">
        <f>IF(VLOOKUP(CONCATENATE($C$2,"-",C53),Languages!$A:$D,1,TRUE)=CONCATENATE($C$2,"-",C53),VLOOKUP(CONCATENATE($C$2,"-",C53),Languages!$A:$D,Kybermittari!$C$7,TRUE),NA())</f>
        <v>Yleisiä hallintatoimia</v>
      </c>
      <c r="E53" s="336"/>
      <c r="F53" s="506"/>
      <c r="G53" s="506"/>
      <c r="H53" s="506"/>
      <c r="I53" s="506" t="s">
        <v>19</v>
      </c>
      <c r="J53" s="507"/>
      <c r="K53" s="339"/>
      <c r="L53" s="347"/>
      <c r="M53" s="533"/>
      <c r="N53" s="347"/>
      <c r="O53" s="341"/>
      <c r="P53" s="341"/>
    </row>
    <row r="54" spans="1:16" s="475" customFormat="1" ht="47.5" customHeight="1" x14ac:dyDescent="0.3">
      <c r="A54" s="524"/>
      <c r="B54" s="525"/>
      <c r="C54" s="753" t="str">
        <f>IF(VLOOKUP(CONCATENATE($C$2,"-",$C53,"-0"),Languages!$A:$D,1,TRUE)=CONCATENATE($C$2,"-",$C53,"-0"),VLOOKUP(CONCATENATE($C$2,"-",$C53,"-0"),Languages!$A:$D,Kybermittari!$C$7,TRUE),NA())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54" s="753"/>
      <c r="E54" s="753"/>
      <c r="F54" s="753"/>
      <c r="G54" s="753"/>
      <c r="H54" s="753"/>
      <c r="I54" s="753"/>
      <c r="J54" s="753"/>
      <c r="K54" s="471"/>
      <c r="L54" s="524"/>
      <c r="M54" s="545"/>
      <c r="N54" s="524"/>
      <c r="O54" s="473"/>
      <c r="P54" s="473"/>
    </row>
    <row r="55" spans="1:16" s="547" customFormat="1" ht="20" customHeight="1" x14ac:dyDescent="0.3">
      <c r="A55" s="483"/>
      <c r="B55" s="476"/>
      <c r="C55" s="477" t="str">
        <f>IF(VLOOKUP("GEN-LEVEL",Languages!$A:$D,1,TRUE)="GEN-LEVEL",VLOOKUP("GEN-LEVEL",Languages!$A:$D,Kybermittari!$C$7,TRUE),NA())</f>
        <v>Taso</v>
      </c>
      <c r="D55" s="477"/>
      <c r="E55" s="478" t="str">
        <f>IF(VLOOKUP("GEN-PRACTICE",Languages!$A:$D,1,TRUE)="GEN-PRACTICE",VLOOKUP("GEN-PRACTICE",Languages!$A:$D,Kybermittari!$C$7,TRUE),NA())</f>
        <v>Käytäntö</v>
      </c>
      <c r="F55" s="479"/>
      <c r="G55" s="480"/>
      <c r="H55" s="481"/>
      <c r="I55" s="478" t="str">
        <f>IF(VLOOKUP("GEN-ANSWER",Languages!$A:$D,1,TRUE)="GEN-ANSWER",VLOOKUP("GEN-ANSWER",Languages!$A:$D,Kybermittari!$C$7,TRUE),NA())</f>
        <v>Vastaus</v>
      </c>
      <c r="J55" s="480" t="str">
        <f>IF(VLOOKUP("GEN-COMMENT",Languages!$A:$D,1,TRUE)="GEN-COMMENT",VLOOKUP("GEN-COMMENT",Languages!$A:$D,Kybermittari!$C$7,TRUE),NA())</f>
        <v>Kommentti ja viittaukset</v>
      </c>
      <c r="K55" s="482"/>
      <c r="L55" s="524"/>
      <c r="M55" s="545"/>
      <c r="N55" s="524"/>
      <c r="O55" s="546"/>
      <c r="P55" s="546"/>
    </row>
    <row r="56" spans="1:16" s="547" customFormat="1" ht="10" customHeight="1" x14ac:dyDescent="0.3">
      <c r="A56" s="483"/>
      <c r="B56" s="476"/>
      <c r="C56" s="487"/>
      <c r="D56" s="487"/>
      <c r="E56" s="488"/>
      <c r="F56" s="489"/>
      <c r="G56" s="490"/>
      <c r="H56" s="491"/>
      <c r="I56" s="488"/>
      <c r="J56" s="490"/>
      <c r="K56" s="482"/>
      <c r="L56" s="524"/>
      <c r="M56" s="545"/>
      <c r="N56" s="524"/>
      <c r="O56" s="546"/>
      <c r="P56" s="546"/>
    </row>
    <row r="57" spans="1:16" s="547" customFormat="1" ht="20" customHeight="1" x14ac:dyDescent="0.3">
      <c r="A57" s="483"/>
      <c r="B57" s="476"/>
      <c r="C57" s="557">
        <v>1</v>
      </c>
      <c r="D57" s="558"/>
      <c r="E57" s="559"/>
      <c r="F57" s="560"/>
      <c r="G57" s="561"/>
      <c r="H57" s="562"/>
      <c r="I57" s="559"/>
      <c r="J57" s="563"/>
      <c r="K57" s="482"/>
      <c r="L57" s="524"/>
      <c r="M57" s="545"/>
      <c r="N57" s="524"/>
      <c r="O57" s="546"/>
      <c r="P57" s="546"/>
    </row>
    <row r="58" spans="1:16" s="547" customFormat="1" ht="10" customHeight="1" x14ac:dyDescent="0.3">
      <c r="A58" s="483"/>
      <c r="B58" s="476"/>
      <c r="C58" s="487"/>
      <c r="D58" s="487"/>
      <c r="E58" s="488"/>
      <c r="F58" s="489"/>
      <c r="G58" s="490"/>
      <c r="H58" s="491"/>
      <c r="I58" s="488"/>
      <c r="J58" s="490"/>
      <c r="K58" s="482"/>
      <c r="L58" s="524"/>
      <c r="M58" s="545"/>
      <c r="N58" s="524"/>
      <c r="O58" s="546"/>
      <c r="P58" s="546"/>
    </row>
    <row r="59" spans="1:16" s="510" customFormat="1" ht="35" customHeight="1" x14ac:dyDescent="0.3">
      <c r="A59" s="524"/>
      <c r="B59" s="749"/>
      <c r="C59" s="765">
        <v>2</v>
      </c>
      <c r="D59" s="508" t="s">
        <v>126</v>
      </c>
      <c r="E59" s="750" t="str">
        <f>IF(VLOOKUP(CONCATENATE($C$2,"-",$D59),Languages!$A:$D,1,TRUE)=CONCATENATE($C$2,"-",$D59),VLOOKUP(CONCATENATE($C$2,"-",$D59),Languages!$A:$D,Kybermittari!$C$7,TRUE),NA())</f>
        <v>Kybertapahtumien havainnoinnin (RESPONSE) osioon liittyen on määritetty dokumentoidut käytännöt, joita noudatetaan ja pidetään yllä.</v>
      </c>
      <c r="F59" s="750"/>
      <c r="G59" s="750"/>
      <c r="H59" s="493">
        <f>IFERROR(INT(LEFT($I59,1)),0)</f>
        <v>0</v>
      </c>
      <c r="I59" s="54"/>
      <c r="J59" s="527"/>
      <c r="K59" s="509"/>
      <c r="L59" s="524"/>
      <c r="M59" s="545"/>
      <c r="N59" s="524"/>
      <c r="O59" s="495"/>
      <c r="P59" s="495"/>
    </row>
    <row r="60" spans="1:16" s="510" customFormat="1" ht="35" customHeight="1" x14ac:dyDescent="0.3">
      <c r="A60" s="524"/>
      <c r="B60" s="749"/>
      <c r="C60" s="766"/>
      <c r="D60" s="508" t="s">
        <v>129</v>
      </c>
      <c r="E60" s="750" t="str">
        <f>IF(VLOOKUP(CONCATENATE($C$2,"-",$D60),Languages!$A:$D,1,TRUE)=CONCATENATE($C$2,"-",$D60),VLOOKUP(CONCATENATE($C$2,"-",$D60),Languages!$A:$D,Kybermittari!$C$7,TRUE),NA())</f>
        <v>Kybertapahtumien havainnoinnin (RESPONSE) osion toimintaan on saatavilla riittävät resurssit (henkilöstö, rahoitus ja työkalut).</v>
      </c>
      <c r="F60" s="750"/>
      <c r="G60" s="750"/>
      <c r="H60" s="493">
        <f>IFERROR(INT(LEFT($I60,1)),0)</f>
        <v>0</v>
      </c>
      <c r="I60" s="54"/>
      <c r="J60" s="527"/>
      <c r="K60" s="509"/>
      <c r="L60" s="524"/>
      <c r="M60" s="545"/>
      <c r="N60" s="524"/>
      <c r="O60" s="495"/>
      <c r="P60" s="495"/>
    </row>
    <row r="61" spans="1:16" s="510" customFormat="1" ht="35" customHeight="1" x14ac:dyDescent="0.3">
      <c r="A61" s="524"/>
      <c r="B61" s="749"/>
      <c r="C61" s="766"/>
      <c r="D61" s="508" t="s">
        <v>132</v>
      </c>
      <c r="E61" s="750" t="str">
        <f>IF(VLOOKUP(CONCATENATE($C$2,"-",$D61),Languages!$A:$D,1,TRUE)=CONCATENATE($C$2,"-",$D61),VLOOKUP(CONCATENATE($C$2,"-",$D61),Languages!$A:$D,Kybermittari!$C$7,TRUE),NA())</f>
        <v>Kybertapahtumien havainnoinnin (RESPONSE) osion toimintaa suorittavilla työntekijöillä on riittävät tiedot ja taidot tehtäviensä suorittamiseen.</v>
      </c>
      <c r="F61" s="750"/>
      <c r="G61" s="750"/>
      <c r="H61" s="493">
        <f>IFERROR(INT(LEFT($I61,1)),0)</f>
        <v>0</v>
      </c>
      <c r="I61" s="54"/>
      <c r="J61" s="527"/>
      <c r="K61" s="509"/>
      <c r="L61" s="524"/>
      <c r="M61" s="545"/>
      <c r="N61" s="524"/>
      <c r="O61" s="495"/>
      <c r="P61" s="495"/>
    </row>
    <row r="62" spans="1:16" s="510" customFormat="1" ht="35" customHeight="1" x14ac:dyDescent="0.3">
      <c r="A62" s="524"/>
      <c r="B62" s="749"/>
      <c r="C62" s="767"/>
      <c r="D62" s="508" t="s">
        <v>135</v>
      </c>
      <c r="E62" s="750" t="str">
        <f>IF(VLOOKUP(CONCATENATE($C$2,"-",$D62),Languages!$A:$D,1,TRUE)=CONCATENATE($C$2,"-",$D62),VLOOKUP(CONCATENATE($C$2,"-",$D62),Languages!$A:$D,Kybermittari!$C$7,TRUE),NA())</f>
        <v>Kybertapahtumien havainnoinnin (RESPONSE) osion toiminnan suorittamiseen liittyvät vastuut ja valtuudet on osoitettu nimetyille työntekijöille.</v>
      </c>
      <c r="F62" s="750"/>
      <c r="G62" s="750"/>
      <c r="H62" s="493">
        <f>IFERROR(INT(LEFT($I62,1)),0)</f>
        <v>0</v>
      </c>
      <c r="I62" s="54"/>
      <c r="J62" s="527"/>
      <c r="K62" s="509"/>
      <c r="L62" s="524"/>
      <c r="M62" s="545"/>
      <c r="N62" s="524"/>
      <c r="O62" s="495"/>
      <c r="P62" s="495"/>
    </row>
    <row r="63" spans="1:16" s="510" customFormat="1" ht="10" customHeight="1" x14ac:dyDescent="0.3">
      <c r="A63" s="524"/>
      <c r="B63" s="511"/>
      <c r="C63" s="565"/>
      <c r="D63" s="513"/>
      <c r="E63" s="501"/>
      <c r="F63" s="501"/>
      <c r="G63" s="501"/>
      <c r="H63" s="499"/>
      <c r="I63" s="502"/>
      <c r="J63" s="514"/>
      <c r="K63" s="509"/>
      <c r="L63" s="524"/>
      <c r="M63" s="545"/>
      <c r="N63" s="524"/>
      <c r="O63" s="495"/>
      <c r="P63" s="495"/>
    </row>
    <row r="64" spans="1:16" s="510" customFormat="1" ht="60" customHeight="1" x14ac:dyDescent="0.3">
      <c r="A64" s="524"/>
      <c r="B64" s="749"/>
      <c r="C64" s="765">
        <v>3</v>
      </c>
      <c r="D64" s="508" t="s">
        <v>138</v>
      </c>
      <c r="E64" s="750" t="str">
        <f>IF(VLOOKUP(CONCATENATE($C$2,"-",$D64),Languages!$A:$D,1,TRUE)=CONCATENATE($C$2,"-",$D64),VLOOKUP(CONCATENATE($C$2,"-",$D64),Languages!$A:$D,Kybermittari!$C$7,TRUE),NA())</f>
        <v>Kybertapahtumien havainnoinnin (RESPONSE) osion toiminta perustuu organisaation määrittämään ja ylläpitämään johtotason politiikkaan (tai vastaavaan ohjeistukseen), jossa asetetaan nimenomaisia vaatimuksia tämän osion toiminnalle.</v>
      </c>
      <c r="F64" s="750"/>
      <c r="G64" s="750"/>
      <c r="H64" s="493">
        <f>IFERROR(INT(LEFT($I64,1)),0)</f>
        <v>0</v>
      </c>
      <c r="I64" s="54"/>
      <c r="J64" s="527"/>
      <c r="K64" s="509"/>
      <c r="L64" s="524"/>
      <c r="M64" s="545"/>
      <c r="N64" s="524"/>
      <c r="O64" s="495"/>
      <c r="P64" s="495"/>
    </row>
    <row r="65" spans="1:16" s="510" customFormat="1" ht="35" customHeight="1" x14ac:dyDescent="0.3">
      <c r="A65" s="524"/>
      <c r="B65" s="749"/>
      <c r="C65" s="766"/>
      <c r="D65" s="508" t="s">
        <v>140</v>
      </c>
      <c r="E65" s="750" t="str">
        <f>IF(VLOOKUP(CONCATENATE($C$2,"-",$D65),Languages!$A:$D,1,TRUE)=CONCATENATE($C$2,"-",$D65),VLOOKUP(CONCATENATE($C$2,"-",$D65),Languages!$A:$D,Kybermittari!$C$7,TRUE),NA())</f>
        <v>Kybertapahtumien havainnoinnin (RESPONSE) osion toiminnalle on määritetty suoriutumistavoitteet, joiden toteutumista seurataan [kts. PROGRAM-1b].</v>
      </c>
      <c r="F65" s="750"/>
      <c r="G65" s="750"/>
      <c r="H65" s="493">
        <f>IFERROR(INT(LEFT($I65,1)),0)</f>
        <v>0</v>
      </c>
      <c r="I65" s="54"/>
      <c r="J65" s="527"/>
      <c r="K65" s="509"/>
      <c r="L65" s="524"/>
      <c r="M65" s="545"/>
      <c r="N65" s="524"/>
      <c r="O65" s="495"/>
      <c r="P65" s="495"/>
    </row>
    <row r="66" spans="1:16" s="510" customFormat="1" ht="35" customHeight="1" x14ac:dyDescent="0.25">
      <c r="A66" s="524"/>
      <c r="B66" s="749"/>
      <c r="C66" s="767"/>
      <c r="D66" s="508" t="s">
        <v>255</v>
      </c>
      <c r="E66" s="750" t="str">
        <f>IF(VLOOKUP(CONCATENATE($C$2,"-",$D66),Languages!$A:$D,1,TRUE)=CONCATENATE($C$2,"-",$D66),VLOOKUP(CONCATENATE($C$2,"-",$D66),Languages!$A:$D,Kybermittari!$C$7,TRUE),NA())</f>
        <v>Kybertapahtumien havainnoinnin (RESPONSE) osioon liittyvät käytännöt on standardoitu läpi koko organisaation ja niitä kehitetään aktiivisesti.</v>
      </c>
      <c r="F66" s="750"/>
      <c r="G66" s="750"/>
      <c r="H66" s="493">
        <f>IFERROR(INT(LEFT($I66,1)),0)</f>
        <v>0</v>
      </c>
      <c r="I66" s="54"/>
      <c r="J66" s="527"/>
      <c r="K66" s="509"/>
      <c r="L66" s="524"/>
      <c r="M66" s="637"/>
      <c r="N66" s="524"/>
      <c r="O66" s="495"/>
      <c r="P66" s="495"/>
    </row>
    <row r="67" spans="1:16" x14ac:dyDescent="0.25">
      <c r="A67" s="347"/>
      <c r="B67" s="619"/>
      <c r="C67" s="620"/>
      <c r="D67" s="621"/>
      <c r="E67" s="622"/>
      <c r="F67" s="622"/>
      <c r="G67" s="622"/>
      <c r="H67" s="623"/>
      <c r="I67" s="624"/>
      <c r="J67" s="625"/>
      <c r="K67" s="626"/>
      <c r="L67" s="347"/>
      <c r="M67" s="638"/>
      <c r="N67" s="347"/>
    </row>
    <row r="68" spans="1:16" x14ac:dyDescent="0.25">
      <c r="A68" s="347"/>
      <c r="B68" s="347"/>
      <c r="C68" s="347"/>
      <c r="D68" s="347"/>
      <c r="E68" s="347"/>
      <c r="F68" s="347"/>
      <c r="G68" s="347"/>
      <c r="H68" s="627"/>
      <c r="I68" s="347"/>
      <c r="J68" s="347"/>
      <c r="K68" s="347"/>
      <c r="L68" s="347"/>
      <c r="M68" s="638"/>
      <c r="N68" s="347"/>
    </row>
  </sheetData>
  <sheetProtection sheet="1" objects="1" scenarios="1"/>
  <mergeCells count="53">
    <mergeCell ref="E66:G66"/>
    <mergeCell ref="E19:G19"/>
    <mergeCell ref="E20:G20"/>
    <mergeCell ref="E49:G49"/>
    <mergeCell ref="E61:G61"/>
    <mergeCell ref="E62:G62"/>
    <mergeCell ref="E65:G65"/>
    <mergeCell ref="C49:C52"/>
    <mergeCell ref="E64:G64"/>
    <mergeCell ref="C5:J5"/>
    <mergeCell ref="C59:C62"/>
    <mergeCell ref="C23:J23"/>
    <mergeCell ref="C11:J11"/>
    <mergeCell ref="C19:C21"/>
    <mergeCell ref="C29:C33"/>
    <mergeCell ref="C35:C36"/>
    <mergeCell ref="C41:C43"/>
    <mergeCell ref="C45:C47"/>
    <mergeCell ref="B64:B66"/>
    <mergeCell ref="C38:J38"/>
    <mergeCell ref="E41:G41"/>
    <mergeCell ref="E42:G42"/>
    <mergeCell ref="E43:G43"/>
    <mergeCell ref="E45:G45"/>
    <mergeCell ref="E46:G46"/>
    <mergeCell ref="E47:G47"/>
    <mergeCell ref="E51:G51"/>
    <mergeCell ref="E50:G50"/>
    <mergeCell ref="E52:G52"/>
    <mergeCell ref="C54:J54"/>
    <mergeCell ref="C64:C66"/>
    <mergeCell ref="B59:B62"/>
    <mergeCell ref="E59:G59"/>
    <mergeCell ref="E60:G60"/>
    <mergeCell ref="B26:B27"/>
    <mergeCell ref="C26:C27"/>
    <mergeCell ref="E26:G26"/>
    <mergeCell ref="E27:G27"/>
    <mergeCell ref="B29:B36"/>
    <mergeCell ref="E29:G29"/>
    <mergeCell ref="E30:G30"/>
    <mergeCell ref="E31:G31"/>
    <mergeCell ref="E32:G32"/>
    <mergeCell ref="E33:G33"/>
    <mergeCell ref="E35:G35"/>
    <mergeCell ref="E36:G36"/>
    <mergeCell ref="B14:B16"/>
    <mergeCell ref="E14:G14"/>
    <mergeCell ref="C16:C17"/>
    <mergeCell ref="E16:G16"/>
    <mergeCell ref="B17:B21"/>
    <mergeCell ref="E17:G17"/>
    <mergeCell ref="E21:G21"/>
  </mergeCells>
  <conditionalFormatting sqref="H1:H1048576">
    <cfRule type="containsText" dxfId="54"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D7A53347-6F96-4FDC-BD49-F3FCBC1798F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I14 I16:I17 I19:I21 I26:I27 I29:I33 I35:I36 I41:I43 I45:I47 I49:I52 I59:I62 I64:I66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Kybermittari</vt:lpstr>
      <vt:lpstr>CRITICAL</vt:lpstr>
      <vt:lpstr>RISK</vt:lpstr>
      <vt:lpstr>DEPENDENCIES</vt:lpstr>
      <vt:lpstr>ASSET</vt:lpstr>
      <vt:lpstr>ACCESS</vt:lpstr>
      <vt:lpstr>THREAT</vt:lpstr>
      <vt:lpstr>SITUATION</vt:lpstr>
      <vt:lpstr>RESPONSE</vt:lpstr>
      <vt:lpstr>WORKFORCE</vt:lpstr>
      <vt:lpstr>ARCHITECTURE</vt:lpstr>
      <vt:lpstr>PROGRAM</vt:lpstr>
      <vt:lpstr>Investment</vt:lpstr>
      <vt:lpstr>DataExport</vt:lpstr>
      <vt:lpstr>R1</vt:lpstr>
      <vt:lpstr>R2</vt:lpstr>
      <vt:lpstr>R3</vt:lpstr>
      <vt:lpstr>Languages</vt:lpstr>
      <vt:lpstr>Data</vt:lpstr>
      <vt:lpstr>NISTMap</vt:lpstr>
      <vt:lpstr>Parameters</vt:lpstr>
      <vt:lpstr>'R2'!Print_Area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2020-06-01T09:29:30Z</dcterms:created>
  <dcterms:modified xsi:type="dcterms:W3CDTF">2022-02-28T06:58:06Z</dcterms:modified>
</cp:coreProperties>
</file>