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2340" yWindow="2340" windowWidth="10220" windowHeight="3820" tabRatio="826"/>
  </bookViews>
  <sheets>
    <sheet name="Kybermittari" sheetId="6" r:id="rId1"/>
    <sheet name="CRITICAL" sheetId="12" r:id="rId2"/>
    <sheet name="RISK" sheetId="1" r:id="rId3"/>
    <sheet name="DEPENDENCIES" sheetId="19" r:id="rId4"/>
    <sheet name="ASSET" sheetId="8" r:id="rId5"/>
    <sheet name="ACCESS" sheetId="10" r:id="rId6"/>
    <sheet name="THREAT" sheetId="21" r:id="rId7"/>
    <sheet name="SITUATION" sheetId="17" r:id="rId8"/>
    <sheet name="RESPONSE" sheetId="18" r:id="rId9"/>
    <sheet name="WORKFORCE" sheetId="20" r:id="rId10"/>
    <sheet name="ARCHITECTURE" sheetId="16" r:id="rId11"/>
    <sheet name="PROGRAM" sheetId="14" r:id="rId12"/>
    <sheet name="Investment" sheetId="13" r:id="rId13"/>
    <sheet name="DataExport" sheetId="32" r:id="rId14"/>
    <sheet name="R1" sheetId="23" r:id="rId15"/>
    <sheet name="R2" sheetId="34" r:id="rId16"/>
    <sheet name="R3" sheetId="24" r:id="rId17"/>
    <sheet name="Languages" sheetId="4" state="hidden" r:id="rId18"/>
    <sheet name="Data" sheetId="5" state="hidden" r:id="rId19"/>
    <sheet name="NISTMap" sheetId="29" state="hidden" r:id="rId20"/>
    <sheet name="Parameters" sheetId="7" state="hidden" r:id="rId21"/>
  </sheets>
  <definedNames>
    <definedName name="_xlnm._FilterDatabase" localSheetId="17" hidden="1">Languages!$A$1:$D$514</definedName>
    <definedName name="_xlnm._FilterDatabase" localSheetId="19" hidden="1">NISTMap!$A$1:$H$553</definedName>
    <definedName name="_xlnm.Print_Area" localSheetId="15">'R2'!$A$1:$K$55</definedName>
  </definedNames>
  <calcPr calcId="162913"/>
</workbook>
</file>

<file path=xl/calcChain.xml><?xml version="1.0" encoding="utf-8"?>
<calcChain xmlns="http://schemas.openxmlformats.org/spreadsheetml/2006/main">
  <c r="F19" i="13" l="1"/>
  <c r="K8" i="13"/>
  <c r="L19" i="13"/>
  <c r="I19" i="13"/>
  <c r="H19" i="13"/>
  <c r="G19" i="13"/>
  <c r="J19" i="13"/>
  <c r="AE17" i="29"/>
  <c r="AE18" i="29"/>
  <c r="AE19" i="29"/>
  <c r="AE20" i="29"/>
  <c r="AE16" i="29"/>
  <c r="AD17" i="29"/>
  <c r="AD18" i="29"/>
  <c r="AD19" i="29"/>
  <c r="AD20" i="29"/>
  <c r="AD16" i="29"/>
  <c r="AC20" i="29"/>
  <c r="AC19" i="29"/>
  <c r="AC18" i="29"/>
  <c r="AC17" i="29"/>
  <c r="AC16" i="29"/>
  <c r="AB20" i="29"/>
  <c r="AB19" i="29"/>
  <c r="AB18" i="29"/>
  <c r="AB17" i="29"/>
  <c r="AB16" i="29"/>
  <c r="M413" i="32"/>
  <c r="M412" i="32"/>
  <c r="M411" i="32"/>
  <c r="M410" i="32"/>
  <c r="M409" i="32"/>
  <c r="M408" i="32"/>
  <c r="M407" i="32"/>
  <c r="M406" i="32"/>
  <c r="M405" i="32"/>
  <c r="M404" i="32"/>
  <c r="M403" i="32"/>
  <c r="K18" i="13"/>
  <c r="K17" i="13"/>
  <c r="M401" i="32" s="1"/>
  <c r="K16" i="13"/>
  <c r="M400" i="32" s="1"/>
  <c r="K15" i="13"/>
  <c r="M399" i="32" s="1"/>
  <c r="K14" i="13"/>
  <c r="K13" i="13"/>
  <c r="M397" i="32" s="1"/>
  <c r="K12" i="13"/>
  <c r="M396" i="32" s="1"/>
  <c r="K11" i="13"/>
  <c r="M395" i="32" s="1"/>
  <c r="K10" i="13"/>
  <c r="K9" i="13"/>
  <c r="M393" i="32" s="1"/>
  <c r="M402" i="32"/>
  <c r="M398" i="32"/>
  <c r="M394" i="32"/>
  <c r="K19" i="13" l="1"/>
  <c r="M392" i="32"/>
  <c r="G553" i="29"/>
  <c r="G552" i="29"/>
  <c r="G551" i="29"/>
  <c r="G550" i="29"/>
  <c r="G549" i="29"/>
  <c r="G548" i="29"/>
  <c r="G547" i="29"/>
  <c r="G546" i="29"/>
  <c r="G545" i="29"/>
  <c r="G544" i="29"/>
  <c r="G543" i="29"/>
  <c r="G542" i="29"/>
  <c r="G541" i="29"/>
  <c r="G540" i="29"/>
  <c r="G539" i="29"/>
  <c r="G538" i="29"/>
  <c r="G537" i="29"/>
  <c r="G536" i="29"/>
  <c r="G535" i="29"/>
  <c r="G534" i="29"/>
  <c r="G533" i="29"/>
  <c r="G532" i="29"/>
  <c r="G531" i="29"/>
  <c r="G530" i="29"/>
  <c r="G529" i="29"/>
  <c r="G528" i="29"/>
  <c r="G527" i="29"/>
  <c r="G526" i="29"/>
  <c r="G525" i="29"/>
  <c r="G524" i="29"/>
  <c r="G523" i="29"/>
  <c r="G522" i="29"/>
  <c r="G521" i="29"/>
  <c r="G520" i="29"/>
  <c r="G519" i="29"/>
  <c r="G518" i="29"/>
  <c r="G517" i="29"/>
  <c r="G516" i="29"/>
  <c r="G515" i="29"/>
  <c r="G514" i="29"/>
  <c r="G513" i="29"/>
  <c r="G512" i="29"/>
  <c r="G511" i="29"/>
  <c r="G510" i="29"/>
  <c r="G509" i="29"/>
  <c r="G508" i="29"/>
  <c r="G507" i="29"/>
  <c r="G506" i="29"/>
  <c r="G505" i="29"/>
  <c r="G504" i="29"/>
  <c r="G503" i="29"/>
  <c r="G502" i="29"/>
  <c r="G501" i="29"/>
  <c r="G500" i="29"/>
  <c r="G499" i="29"/>
  <c r="G498" i="29"/>
  <c r="G497" i="29"/>
  <c r="G496" i="29"/>
  <c r="G495" i="29"/>
  <c r="G494" i="29"/>
  <c r="G493" i="29"/>
  <c r="G492" i="29"/>
  <c r="G491" i="29"/>
  <c r="G490" i="29"/>
  <c r="G489" i="29"/>
  <c r="G488" i="29"/>
  <c r="G487" i="29"/>
  <c r="G486" i="29"/>
  <c r="G485" i="29"/>
  <c r="G484" i="29"/>
  <c r="G483" i="29"/>
  <c r="G482" i="29"/>
  <c r="G481" i="29"/>
  <c r="G480" i="29"/>
  <c r="G479" i="29"/>
  <c r="G478" i="29"/>
  <c r="G477" i="29"/>
  <c r="G476" i="29"/>
  <c r="G475" i="29"/>
  <c r="G474" i="29"/>
  <c r="G473" i="29"/>
  <c r="G472" i="29"/>
  <c r="G471" i="29"/>
  <c r="G470" i="29"/>
  <c r="G469" i="29"/>
  <c r="G468" i="29"/>
  <c r="G467" i="29"/>
  <c r="G466" i="29"/>
  <c r="G465" i="29"/>
  <c r="G464" i="29"/>
  <c r="G463" i="29"/>
  <c r="G462" i="29"/>
  <c r="G461" i="29"/>
  <c r="G460" i="29"/>
  <c r="G459" i="29"/>
  <c r="G458" i="29"/>
  <c r="G457" i="29"/>
  <c r="G456" i="29"/>
  <c r="G455" i="29"/>
  <c r="G454" i="29"/>
  <c r="G453" i="29"/>
  <c r="G452" i="29"/>
  <c r="G451" i="29"/>
  <c r="G450" i="29"/>
  <c r="G449" i="29"/>
  <c r="G448" i="29"/>
  <c r="G447" i="29"/>
  <c r="G446" i="29"/>
  <c r="G445" i="29"/>
  <c r="G444" i="29"/>
  <c r="G443" i="29"/>
  <c r="G442" i="29"/>
  <c r="G441" i="29"/>
  <c r="G429" i="29"/>
  <c r="G427" i="29"/>
  <c r="G419" i="29"/>
  <c r="G418" i="29"/>
  <c r="G407" i="29"/>
  <c r="G390" i="29"/>
  <c r="G382" i="29"/>
  <c r="G379" i="29"/>
  <c r="G367" i="29"/>
  <c r="G349" i="29"/>
  <c r="G330" i="29"/>
  <c r="G323" i="29"/>
  <c r="G297" i="29"/>
  <c r="G293" i="29"/>
  <c r="G275" i="29"/>
  <c r="G265" i="29"/>
  <c r="G259" i="29"/>
  <c r="G254" i="29"/>
  <c r="G244" i="29"/>
  <c r="G243" i="29"/>
  <c r="G242" i="29"/>
  <c r="G230" i="29"/>
  <c r="G226" i="29"/>
  <c r="G213" i="29"/>
  <c r="G200" i="29"/>
  <c r="G194" i="29"/>
  <c r="G188" i="29"/>
  <c r="G182" i="29"/>
  <c r="G174" i="29"/>
  <c r="G173" i="29"/>
  <c r="G170" i="29"/>
  <c r="G149" i="29"/>
  <c r="G140" i="29"/>
  <c r="G112" i="29"/>
  <c r="G104" i="29"/>
  <c r="G102" i="29"/>
  <c r="G97" i="29"/>
  <c r="G93" i="29"/>
  <c r="G92" i="29"/>
  <c r="G88" i="29"/>
  <c r="G86" i="29"/>
  <c r="G73" i="29"/>
  <c r="G70" i="29"/>
  <c r="G69" i="29"/>
  <c r="G63" i="29"/>
  <c r="G57" i="29"/>
  <c r="G52" i="29"/>
  <c r="G51" i="29"/>
  <c r="G47" i="29"/>
  <c r="G46" i="29"/>
  <c r="G39" i="29"/>
  <c r="G19" i="29"/>
  <c r="G440" i="29"/>
  <c r="G439" i="29"/>
  <c r="G437" i="29"/>
  <c r="G435" i="29"/>
  <c r="G434" i="29"/>
  <c r="G432" i="29"/>
  <c r="G431" i="29"/>
  <c r="G430" i="29"/>
  <c r="G428" i="29"/>
  <c r="G423" i="29"/>
  <c r="G420" i="29"/>
  <c r="G417" i="29"/>
  <c r="G413" i="29"/>
  <c r="G411" i="29"/>
  <c r="G409" i="29"/>
  <c r="G408" i="29"/>
  <c r="G406" i="29"/>
  <c r="G405" i="29"/>
  <c r="G404" i="29"/>
  <c r="G403" i="29"/>
  <c r="G401" i="29"/>
  <c r="G396" i="29"/>
  <c r="G393" i="29"/>
  <c r="G388" i="29"/>
  <c r="G387" i="29"/>
  <c r="G378" i="29"/>
  <c r="G377" i="29"/>
  <c r="G376" i="29"/>
  <c r="G375" i="29"/>
  <c r="G374" i="29"/>
  <c r="G372" i="29"/>
  <c r="G370" i="29"/>
  <c r="G366" i="29"/>
  <c r="G365" i="29"/>
  <c r="G364" i="29"/>
  <c r="G363" i="29"/>
  <c r="G362" i="29"/>
  <c r="G359" i="29"/>
  <c r="G358" i="29"/>
  <c r="G354" i="29"/>
  <c r="G353" i="29"/>
  <c r="G350" i="29"/>
  <c r="G348" i="29"/>
  <c r="G345" i="29"/>
  <c r="G344" i="29"/>
  <c r="G341" i="29"/>
  <c r="G340" i="29"/>
  <c r="G337" i="29"/>
  <c r="G336" i="29"/>
  <c r="G335" i="29"/>
  <c r="G334" i="29"/>
  <c r="G333" i="29"/>
  <c r="G329" i="29"/>
  <c r="G328" i="29"/>
  <c r="G327" i="29"/>
  <c r="G326" i="29"/>
  <c r="G325" i="29"/>
  <c r="G324" i="29"/>
  <c r="G322" i="29"/>
  <c r="G321" i="29"/>
  <c r="G320" i="29"/>
  <c r="G319" i="29"/>
  <c r="G318" i="29"/>
  <c r="G317" i="29"/>
  <c r="G315" i="29"/>
  <c r="G314" i="29"/>
  <c r="G313" i="29"/>
  <c r="G304" i="29"/>
  <c r="G298" i="29"/>
  <c r="G294" i="29"/>
  <c r="G292" i="29"/>
  <c r="G291" i="29"/>
  <c r="G290" i="29"/>
  <c r="G288" i="29"/>
  <c r="G285" i="29"/>
  <c r="G280" i="29"/>
  <c r="G274" i="29"/>
  <c r="G264" i="29"/>
  <c r="G262" i="29"/>
  <c r="G256" i="29"/>
  <c r="G255" i="29"/>
  <c r="G253" i="29"/>
  <c r="G252" i="29"/>
  <c r="G239" i="29"/>
  <c r="G227" i="29"/>
  <c r="G222" i="29"/>
  <c r="G221" i="29"/>
  <c r="G220" i="29"/>
  <c r="G210" i="29"/>
  <c r="G201" i="29"/>
  <c r="G199" i="29"/>
  <c r="G198" i="29"/>
  <c r="G195" i="29"/>
  <c r="G193" i="29"/>
  <c r="G192" i="29"/>
  <c r="G189" i="29"/>
  <c r="G187" i="29"/>
  <c r="G186" i="29"/>
  <c r="G183" i="29"/>
  <c r="G181" i="29"/>
  <c r="G180" i="29"/>
  <c r="G169" i="29"/>
  <c r="G163" i="29"/>
  <c r="G157" i="29"/>
  <c r="G156" i="29"/>
  <c r="G150" i="29"/>
  <c r="G148" i="29"/>
  <c r="G145" i="29"/>
  <c r="G139" i="29"/>
  <c r="G137" i="29"/>
  <c r="G128" i="29"/>
  <c r="G121" i="29"/>
  <c r="G117" i="29"/>
  <c r="G115" i="29"/>
  <c r="G111" i="29"/>
  <c r="G107" i="29"/>
  <c r="G105" i="29"/>
  <c r="G101" i="29"/>
  <c r="G96" i="29"/>
  <c r="G95" i="29"/>
  <c r="G94" i="29"/>
  <c r="G91" i="29"/>
  <c r="G90" i="29"/>
  <c r="G89" i="29"/>
  <c r="G87" i="29"/>
  <c r="G85" i="29"/>
  <c r="G84" i="29"/>
  <c r="G83" i="29"/>
  <c r="G81" i="29"/>
  <c r="G80" i="29"/>
  <c r="G76" i="29"/>
  <c r="G72" i="29"/>
  <c r="G71" i="29"/>
  <c r="G68" i="29"/>
  <c r="G64" i="29"/>
  <c r="G58" i="29"/>
  <c r="G55" i="29"/>
  <c r="G50" i="29"/>
  <c r="G49" i="29"/>
  <c r="G45" i="29"/>
  <c r="G44" i="29"/>
  <c r="G42" i="29"/>
  <c r="G38" i="29"/>
  <c r="G34" i="29"/>
  <c r="G33" i="29"/>
  <c r="G32" i="29"/>
  <c r="G27" i="29"/>
  <c r="G26" i="29"/>
  <c r="G22" i="29"/>
  <c r="G18" i="29"/>
  <c r="G15" i="29"/>
  <c r="G14" i="29"/>
  <c r="G10" i="29"/>
  <c r="G8" i="29"/>
  <c r="G7" i="29"/>
  <c r="G4" i="29"/>
  <c r="G3" i="29"/>
  <c r="G438" i="29"/>
  <c r="G399" i="29"/>
  <c r="G398" i="29"/>
  <c r="G397" i="29"/>
  <c r="G394" i="29"/>
  <c r="G392" i="29"/>
  <c r="G391" i="29"/>
  <c r="G386" i="29"/>
  <c r="G385" i="29"/>
  <c r="G384" i="29"/>
  <c r="G310" i="29"/>
  <c r="G309" i="29"/>
  <c r="G308" i="29"/>
  <c r="G307" i="29"/>
  <c r="G306" i="29"/>
  <c r="G249" i="29"/>
  <c r="G248" i="29"/>
  <c r="G247" i="29"/>
  <c r="G219" i="29"/>
  <c r="G216" i="29"/>
  <c r="G167" i="29"/>
  <c r="G166" i="29"/>
  <c r="G165" i="29"/>
  <c r="G433" i="29"/>
  <c r="G426" i="29"/>
  <c r="G425" i="29"/>
  <c r="G424" i="29"/>
  <c r="G416" i="29"/>
  <c r="G415" i="29"/>
  <c r="G414" i="29"/>
  <c r="G400" i="29"/>
  <c r="G389" i="29"/>
  <c r="G383" i="29"/>
  <c r="G371" i="29"/>
  <c r="G361" i="29"/>
  <c r="G360" i="29"/>
  <c r="G357" i="29"/>
  <c r="G356" i="29"/>
  <c r="G355" i="29"/>
  <c r="G352" i="29"/>
  <c r="G351" i="29"/>
  <c r="G347" i="29"/>
  <c r="G346" i="29"/>
  <c r="G343" i="29"/>
  <c r="G342" i="29"/>
  <c r="G339" i="29"/>
  <c r="G338" i="29"/>
  <c r="G332" i="29"/>
  <c r="G331" i="29"/>
  <c r="G311" i="29"/>
  <c r="G300" i="29"/>
  <c r="G299" i="29"/>
  <c r="G296" i="29"/>
  <c r="G295" i="29"/>
  <c r="G287" i="29"/>
  <c r="G286" i="29"/>
  <c r="G281" i="29"/>
  <c r="G279" i="29"/>
  <c r="G276" i="29"/>
  <c r="G269" i="29"/>
  <c r="G268" i="29"/>
  <c r="G251" i="29"/>
  <c r="G250" i="29"/>
  <c r="G236" i="29"/>
  <c r="G235" i="29"/>
  <c r="G229" i="29"/>
  <c r="G225" i="29"/>
  <c r="G218" i="29"/>
  <c r="G217" i="29"/>
  <c r="G215" i="29"/>
  <c r="G214" i="29"/>
  <c r="G207" i="29"/>
  <c r="G206" i="29"/>
  <c r="G205" i="29"/>
  <c r="G204" i="29"/>
  <c r="G203" i="29"/>
  <c r="G202" i="29"/>
  <c r="G197" i="29"/>
  <c r="G196" i="29"/>
  <c r="G191" i="29"/>
  <c r="G190" i="29"/>
  <c r="G185" i="29"/>
  <c r="G184" i="29"/>
  <c r="G179" i="29"/>
  <c r="G178" i="29"/>
  <c r="G172" i="29"/>
  <c r="G171" i="29"/>
  <c r="G159" i="29"/>
  <c r="G158" i="29"/>
  <c r="G152" i="29"/>
  <c r="G151" i="29"/>
  <c r="G144" i="29"/>
  <c r="G143" i="29"/>
  <c r="G142" i="29"/>
  <c r="G129" i="29"/>
  <c r="G123" i="29"/>
  <c r="G122" i="29"/>
  <c r="G119" i="29"/>
  <c r="G118" i="29"/>
  <c r="G103" i="29"/>
  <c r="G99" i="29"/>
  <c r="G98" i="29"/>
  <c r="G82" i="29"/>
  <c r="G79" i="29"/>
  <c r="G78" i="29"/>
  <c r="G77" i="29"/>
  <c r="G67" i="29"/>
  <c r="G66" i="29"/>
  <c r="G61" i="29"/>
  <c r="G60" i="29"/>
  <c r="G54" i="29"/>
  <c r="G53" i="29"/>
  <c r="G48" i="29"/>
  <c r="G37" i="29"/>
  <c r="G36" i="29"/>
  <c r="G35" i="29"/>
  <c r="G28" i="29"/>
  <c r="G23" i="29"/>
  <c r="G21" i="29"/>
  <c r="G20" i="29"/>
  <c r="G17" i="29"/>
  <c r="G16" i="29"/>
  <c r="G11" i="29"/>
  <c r="G6" i="29"/>
  <c r="G2" i="29"/>
  <c r="G436" i="29"/>
  <c r="G422" i="29"/>
  <c r="G421" i="29"/>
  <c r="G412" i="29"/>
  <c r="G410" i="29"/>
  <c r="G402" i="29"/>
  <c r="G395" i="29"/>
  <c r="G381" i="29"/>
  <c r="G380" i="29"/>
  <c r="G373" i="29"/>
  <c r="G369" i="29"/>
  <c r="G368" i="29"/>
  <c r="G316" i="29"/>
  <c r="G312" i="29"/>
  <c r="G305" i="29"/>
  <c r="G303" i="29"/>
  <c r="G302" i="29"/>
  <c r="G301" i="29"/>
  <c r="G289" i="29"/>
  <c r="G284" i="29"/>
  <c r="G283" i="29"/>
  <c r="G282" i="29"/>
  <c r="G278" i="29"/>
  <c r="G277" i="29"/>
  <c r="G273" i="29"/>
  <c r="G272" i="29"/>
  <c r="G271" i="29"/>
  <c r="G270" i="29"/>
  <c r="G267" i="29"/>
  <c r="G266" i="29"/>
  <c r="G263" i="29"/>
  <c r="G261" i="29"/>
  <c r="G260" i="29"/>
  <c r="G258" i="29"/>
  <c r="G257" i="29"/>
  <c r="G246" i="29"/>
  <c r="G245" i="29"/>
  <c r="G241" i="29"/>
  <c r="G240" i="29"/>
  <c r="G238" i="29"/>
  <c r="G237" i="29"/>
  <c r="G234" i="29"/>
  <c r="G233" i="29"/>
  <c r="G232" i="29"/>
  <c r="G231" i="29"/>
  <c r="G228" i="29"/>
  <c r="G224" i="29"/>
  <c r="G223" i="29"/>
  <c r="G212" i="29"/>
  <c r="G211" i="29"/>
  <c r="G209" i="29"/>
  <c r="G208" i="29"/>
  <c r="G177" i="29"/>
  <c r="G176" i="29"/>
  <c r="G175" i="29"/>
  <c r="G168" i="29"/>
  <c r="G164" i="29"/>
  <c r="G162" i="29"/>
  <c r="G161" i="29"/>
  <c r="G160" i="29"/>
  <c r="G155" i="29"/>
  <c r="G154" i="29"/>
  <c r="G153" i="29"/>
  <c r="G147" i="29"/>
  <c r="G146" i="29"/>
  <c r="G141" i="29"/>
  <c r="G138" i="29"/>
  <c r="G136" i="29"/>
  <c r="G135" i="29"/>
  <c r="G134" i="29"/>
  <c r="G133" i="29"/>
  <c r="G132" i="29"/>
  <c r="G131" i="29"/>
  <c r="G130" i="29"/>
  <c r="G127" i="29"/>
  <c r="G126" i="29"/>
  <c r="G125" i="29"/>
  <c r="G124" i="29"/>
  <c r="G120" i="29"/>
  <c r="G116" i="29"/>
  <c r="G114" i="29"/>
  <c r="G113" i="29"/>
  <c r="G110" i="29"/>
  <c r="G109" i="29"/>
  <c r="G108" i="29"/>
  <c r="G106" i="29"/>
  <c r="G100" i="29"/>
  <c r="G75" i="29"/>
  <c r="G74" i="29"/>
  <c r="G65" i="29"/>
  <c r="G62" i="29"/>
  <c r="G59" i="29"/>
  <c r="G56" i="29"/>
  <c r="G43" i="29"/>
  <c r="G41" i="29"/>
  <c r="G40" i="29"/>
  <c r="G31" i="29"/>
  <c r="G30" i="29"/>
  <c r="G29" i="29"/>
  <c r="G25" i="29"/>
  <c r="G24" i="29"/>
  <c r="G13" i="29"/>
  <c r="G12" i="29"/>
  <c r="G9" i="29"/>
  <c r="AE7" i="29" l="1"/>
  <c r="AE6" i="29"/>
  <c r="AE5" i="29"/>
  <c r="AE4" i="29"/>
  <c r="AE3" i="29"/>
  <c r="AD7" i="29"/>
  <c r="AD6" i="29"/>
  <c r="AD5" i="29"/>
  <c r="AD4" i="29"/>
  <c r="AD3" i="29"/>
  <c r="U4" i="5"/>
  <c r="U5" i="5"/>
  <c r="U6" i="5"/>
  <c r="U7" i="5"/>
  <c r="U8" i="5"/>
  <c r="U9" i="5"/>
  <c r="U10" i="5"/>
  <c r="U11" i="5"/>
  <c r="U12" i="5"/>
  <c r="U13" i="5"/>
  <c r="U3" i="5"/>
  <c r="T13" i="5"/>
  <c r="T12" i="5"/>
  <c r="T11" i="5"/>
  <c r="T10" i="5"/>
  <c r="T9" i="5"/>
  <c r="T8" i="5"/>
  <c r="T7" i="5"/>
  <c r="T6" i="5"/>
  <c r="T5" i="5"/>
  <c r="T4" i="5"/>
  <c r="T3" i="5"/>
  <c r="C15" i="6" l="1"/>
  <c r="C18" i="6"/>
  <c r="B1" i="7" l="1"/>
  <c r="B26" i="7" l="1"/>
  <c r="B64" i="7"/>
  <c r="R5" i="5" s="1"/>
  <c r="B68" i="7"/>
  <c r="R9" i="5" s="1"/>
  <c r="B72" i="7"/>
  <c r="R13" i="5" s="1"/>
  <c r="B20" i="7"/>
  <c r="B65" i="7"/>
  <c r="R6" i="5" s="1"/>
  <c r="B69" i="7"/>
  <c r="R10" i="5" s="1"/>
  <c r="B62" i="7"/>
  <c r="R3" i="5" s="1"/>
  <c r="B19" i="7"/>
  <c r="B66" i="7"/>
  <c r="R7" i="5" s="1"/>
  <c r="B70" i="7"/>
  <c r="R11" i="5" s="1"/>
  <c r="B22" i="7"/>
  <c r="B18" i="7"/>
  <c r="B63" i="7"/>
  <c r="R4" i="5" s="1"/>
  <c r="B67" i="7"/>
  <c r="R8" i="5" s="1"/>
  <c r="B71" i="7"/>
  <c r="R12" i="5" s="1"/>
  <c r="B21" i="7"/>
  <c r="B14" i="7"/>
  <c r="B17" i="7"/>
  <c r="B16" i="7"/>
  <c r="B15" i="7"/>
  <c r="B51" i="7"/>
  <c r="B13" i="7"/>
  <c r="B12" i="7"/>
  <c r="B11" i="7"/>
  <c r="B34" i="7"/>
  <c r="B38" i="7"/>
  <c r="B50" i="7"/>
  <c r="B55" i="7"/>
  <c r="B27" i="7"/>
  <c r="B35" i="7"/>
  <c r="B43" i="7"/>
  <c r="B47" i="7"/>
  <c r="B56" i="7"/>
  <c r="B24" i="7"/>
  <c r="B28" i="7"/>
  <c r="B32" i="7"/>
  <c r="B36" i="7"/>
  <c r="B40" i="7"/>
  <c r="B44" i="7"/>
  <c r="B48" i="7"/>
  <c r="B53" i="7"/>
  <c r="B57" i="7"/>
  <c r="B30" i="7"/>
  <c r="B42" i="7"/>
  <c r="B46" i="7"/>
  <c r="B59" i="7"/>
  <c r="B23" i="7"/>
  <c r="B31" i="7"/>
  <c r="B39" i="7"/>
  <c r="B52" i="7"/>
  <c r="B60" i="7"/>
  <c r="B61" i="7"/>
  <c r="B25" i="7"/>
  <c r="B29" i="7"/>
  <c r="B33" i="7"/>
  <c r="B37" i="7"/>
  <c r="B41" i="7"/>
  <c r="B45" i="7"/>
  <c r="B49" i="7"/>
  <c r="B54" i="7"/>
  <c r="B58" i="7"/>
  <c r="H69" i="14"/>
  <c r="F181" i="5"/>
  <c r="C7" i="6" l="1"/>
  <c r="E15" i="8" s="1"/>
  <c r="C6" i="6" l="1"/>
  <c r="E13" i="12"/>
  <c r="C9" i="13"/>
  <c r="C8" i="13"/>
  <c r="D4" i="24"/>
  <c r="D5" i="24"/>
  <c r="D5" i="34"/>
  <c r="D4" i="34"/>
  <c r="D45" i="34"/>
  <c r="D4" i="23"/>
  <c r="D5" i="23"/>
  <c r="AB5" i="29"/>
  <c r="AC2" i="29"/>
  <c r="AE2" i="29"/>
  <c r="AD2" i="29"/>
  <c r="AB4" i="29"/>
  <c r="D24" i="6"/>
  <c r="E10" i="23"/>
  <c r="AB7" i="29"/>
  <c r="AB3" i="29"/>
  <c r="AB6" i="29"/>
  <c r="G37" i="34"/>
  <c r="G31" i="34"/>
  <c r="G25" i="34"/>
  <c r="G19" i="34"/>
  <c r="G13" i="34"/>
  <c r="D39" i="34"/>
  <c r="D33" i="34"/>
  <c r="D27" i="34"/>
  <c r="D21" i="34"/>
  <c r="D13" i="34"/>
  <c r="G36" i="34"/>
  <c r="G10" i="34"/>
  <c r="D20" i="34"/>
  <c r="T2" i="5"/>
  <c r="G26" i="34"/>
  <c r="D40" i="34"/>
  <c r="D28" i="34"/>
  <c r="D9" i="1"/>
  <c r="G40" i="34"/>
  <c r="G34" i="34"/>
  <c r="G30" i="34"/>
  <c r="G24" i="34"/>
  <c r="G18" i="34"/>
  <c r="G12" i="34"/>
  <c r="D38" i="34"/>
  <c r="D30" i="34"/>
  <c r="D26" i="34"/>
  <c r="D18" i="34"/>
  <c r="D12" i="34"/>
  <c r="G29" i="34"/>
  <c r="D37" i="34"/>
  <c r="D15" i="34"/>
  <c r="S2" i="5"/>
  <c r="G32" i="34"/>
  <c r="G14" i="34"/>
  <c r="D22" i="34"/>
  <c r="D25" i="34"/>
  <c r="G39" i="34"/>
  <c r="G33" i="34"/>
  <c r="G27" i="34"/>
  <c r="G23" i="34"/>
  <c r="G17" i="34"/>
  <c r="G11" i="34"/>
  <c r="D35" i="34"/>
  <c r="D29" i="34"/>
  <c r="D23" i="34"/>
  <c r="D17" i="34"/>
  <c r="D11" i="34"/>
  <c r="G22" i="34"/>
  <c r="D32" i="34"/>
  <c r="D10" i="34"/>
  <c r="G38" i="34"/>
  <c r="G20" i="34"/>
  <c r="D34" i="34"/>
  <c r="D16" i="34"/>
  <c r="G16" i="34"/>
  <c r="U2" i="5"/>
  <c r="C3" i="12"/>
  <c r="H3" i="6"/>
  <c r="H41" i="6"/>
  <c r="D41" i="6"/>
  <c r="D40" i="6"/>
  <c r="D38" i="6"/>
  <c r="D34" i="6"/>
  <c r="D32" i="6"/>
  <c r="D9" i="6"/>
  <c r="D22" i="6"/>
  <c r="D26" i="6"/>
  <c r="D18" i="6"/>
  <c r="D13" i="6"/>
  <c r="D15" i="6"/>
  <c r="D12" i="6"/>
  <c r="H13" i="6"/>
  <c r="D11" i="6"/>
  <c r="H11" i="6"/>
  <c r="C4" i="6"/>
  <c r="E69" i="14"/>
  <c r="O56" i="5" l="1"/>
  <c r="H7" i="13" l="1"/>
  <c r="J6" i="14"/>
  <c r="J6" i="18"/>
  <c r="J6" i="17"/>
  <c r="I12" i="14"/>
  <c r="J6" i="8"/>
  <c r="J6" i="19"/>
  <c r="J6" i="16"/>
  <c r="J6" i="21"/>
  <c r="J6" i="1"/>
  <c r="J6" i="20"/>
  <c r="J6" i="10"/>
  <c r="J6" i="12"/>
  <c r="C19" i="13"/>
  <c r="C5" i="13"/>
  <c r="C3" i="14"/>
  <c r="C3" i="13"/>
  <c r="C7" i="13"/>
  <c r="I7" i="13"/>
  <c r="F7" i="13"/>
  <c r="J7" i="13"/>
  <c r="L7" i="13"/>
  <c r="G7" i="13"/>
  <c r="K7" i="13"/>
  <c r="D9" i="32"/>
  <c r="L7" i="32"/>
  <c r="L6" i="32"/>
  <c r="Q11" i="32"/>
  <c r="D7" i="32"/>
  <c r="Q9" i="32"/>
  <c r="H9" i="32"/>
  <c r="D4" i="32"/>
  <c r="H7" i="32"/>
  <c r="D24" i="32"/>
  <c r="H6" i="32"/>
  <c r="D6" i="32"/>
  <c r="H24" i="32"/>
  <c r="C3" i="10"/>
  <c r="M13" i="32"/>
  <c r="M12" i="32"/>
  <c r="M11" i="32"/>
  <c r="M10" i="32"/>
  <c r="H53" i="12"/>
  <c r="H52" i="12"/>
  <c r="H50" i="12"/>
  <c r="H49" i="12"/>
  <c r="H47" i="12"/>
  <c r="H46" i="12"/>
  <c r="H45" i="12"/>
  <c r="H44" i="12"/>
  <c r="H39" i="12"/>
  <c r="H38" i="12"/>
  <c r="H36" i="12"/>
  <c r="H35" i="12"/>
  <c r="H34" i="12"/>
  <c r="H33" i="12"/>
  <c r="H32" i="12"/>
  <c r="H31" i="12"/>
  <c r="H30" i="12"/>
  <c r="H28" i="12"/>
  <c r="H27" i="12"/>
  <c r="H22" i="12"/>
  <c r="H20" i="12"/>
  <c r="H19" i="12"/>
  <c r="H18" i="12"/>
  <c r="H16" i="12"/>
  <c r="H15" i="12"/>
  <c r="H14" i="12"/>
  <c r="H13" i="12" l="1"/>
  <c r="F26" i="6"/>
  <c r="C26" i="6" l="1"/>
  <c r="H74" i="14" l="1"/>
  <c r="H73" i="14"/>
  <c r="H72" i="14"/>
  <c r="H70" i="14"/>
  <c r="H68" i="14"/>
  <c r="H67" i="14"/>
  <c r="H60" i="14"/>
  <c r="H59" i="14"/>
  <c r="H58" i="14"/>
  <c r="H57" i="14"/>
  <c r="H56" i="14"/>
  <c r="H54" i="14"/>
  <c r="H53" i="14"/>
  <c r="H52" i="14"/>
  <c r="H51" i="14"/>
  <c r="H50" i="14"/>
  <c r="H49" i="14"/>
  <c r="H47" i="14"/>
  <c r="H46" i="14"/>
  <c r="H41" i="14"/>
  <c r="H40" i="14"/>
  <c r="H39" i="14"/>
  <c r="H38" i="14"/>
  <c r="H36" i="14"/>
  <c r="H35" i="14"/>
  <c r="H34" i="14"/>
  <c r="H33" i="14"/>
  <c r="H32" i="14"/>
  <c r="H31" i="14"/>
  <c r="H29" i="14"/>
  <c r="H28" i="14"/>
  <c r="H23" i="14"/>
  <c r="H21" i="14"/>
  <c r="H20" i="14"/>
  <c r="H19" i="14"/>
  <c r="H18" i="14"/>
  <c r="H17" i="14"/>
  <c r="H16" i="14"/>
  <c r="H74" i="16"/>
  <c r="H73" i="16"/>
  <c r="H72" i="16"/>
  <c r="H70" i="16"/>
  <c r="H69" i="16"/>
  <c r="H68" i="16"/>
  <c r="H67" i="16"/>
  <c r="H60" i="16"/>
  <c r="H59" i="16"/>
  <c r="H58" i="16"/>
  <c r="H57" i="16"/>
  <c r="H55" i="16"/>
  <c r="H54" i="16"/>
  <c r="H53" i="16"/>
  <c r="H51" i="16"/>
  <c r="H50" i="16"/>
  <c r="H45" i="16"/>
  <c r="H44" i="16"/>
  <c r="H42" i="16"/>
  <c r="H41" i="16"/>
  <c r="H34" i="16"/>
  <c r="H32" i="16"/>
  <c r="H30" i="16"/>
  <c r="H25" i="16"/>
  <c r="H24" i="16"/>
  <c r="H23" i="16"/>
  <c r="H21" i="16"/>
  <c r="H20" i="16"/>
  <c r="H19" i="16"/>
  <c r="H18" i="16"/>
  <c r="H17" i="16"/>
  <c r="H71" i="20"/>
  <c r="H70" i="20"/>
  <c r="H69" i="20"/>
  <c r="H67" i="20"/>
  <c r="H66" i="20"/>
  <c r="H65" i="20"/>
  <c r="H64" i="20"/>
  <c r="H57" i="20"/>
  <c r="H56" i="20"/>
  <c r="H54" i="20"/>
  <c r="H53" i="20"/>
  <c r="H51" i="20"/>
  <c r="H46" i="20"/>
  <c r="H45" i="20"/>
  <c r="H43" i="20"/>
  <c r="H42" i="20"/>
  <c r="H40" i="20"/>
  <c r="H39" i="20"/>
  <c r="H34" i="20"/>
  <c r="H33" i="20"/>
  <c r="H31" i="20"/>
  <c r="H30" i="20"/>
  <c r="H28" i="20"/>
  <c r="H27" i="20"/>
  <c r="H22" i="20"/>
  <c r="H21" i="20"/>
  <c r="H19" i="20"/>
  <c r="H18" i="20"/>
  <c r="H16" i="20"/>
  <c r="H55" i="19"/>
  <c r="H54" i="19"/>
  <c r="H53" i="19"/>
  <c r="H51" i="19"/>
  <c r="H50" i="19"/>
  <c r="H49" i="19"/>
  <c r="H48" i="19"/>
  <c r="H41" i="19"/>
  <c r="H40" i="19"/>
  <c r="H39" i="19"/>
  <c r="H38" i="19"/>
  <c r="H37" i="19"/>
  <c r="H35" i="19"/>
  <c r="H34" i="19"/>
  <c r="H33" i="19"/>
  <c r="H32" i="19"/>
  <c r="H31" i="19"/>
  <c r="H30" i="19"/>
  <c r="H29" i="19"/>
  <c r="H27" i="19"/>
  <c r="H26" i="19"/>
  <c r="H21" i="19"/>
  <c r="H19" i="19"/>
  <c r="H18" i="19"/>
  <c r="H17" i="19"/>
  <c r="H16" i="19"/>
  <c r="H14" i="19"/>
  <c r="H66" i="18"/>
  <c r="H65" i="18"/>
  <c r="H64" i="18"/>
  <c r="H62" i="18"/>
  <c r="H61" i="18"/>
  <c r="H60" i="18"/>
  <c r="H59" i="18"/>
  <c r="H52" i="18"/>
  <c r="H51" i="18"/>
  <c r="H50" i="18"/>
  <c r="H49" i="18"/>
  <c r="H47" i="18"/>
  <c r="H46" i="18"/>
  <c r="H45" i="18"/>
  <c r="H43" i="18"/>
  <c r="H42" i="18"/>
  <c r="H41" i="18"/>
  <c r="H36" i="18"/>
  <c r="H35" i="18"/>
  <c r="H33" i="18"/>
  <c r="H32" i="18"/>
  <c r="H31" i="18"/>
  <c r="H30" i="18"/>
  <c r="H29" i="18"/>
  <c r="H27" i="18"/>
  <c r="H26" i="18"/>
  <c r="H21" i="18"/>
  <c r="H20" i="18"/>
  <c r="H19" i="18"/>
  <c r="H17" i="18"/>
  <c r="H16" i="18"/>
  <c r="H64" i="17"/>
  <c r="H63" i="17"/>
  <c r="H62" i="17"/>
  <c r="H60" i="17"/>
  <c r="H59" i="17"/>
  <c r="H58" i="17"/>
  <c r="H57" i="17"/>
  <c r="H50" i="17"/>
  <c r="H49" i="17"/>
  <c r="H48" i="17"/>
  <c r="H47" i="17"/>
  <c r="H46" i="17"/>
  <c r="H44" i="17"/>
  <c r="H43" i="17"/>
  <c r="H42" i="17"/>
  <c r="H35" i="17"/>
  <c r="H34" i="17"/>
  <c r="H33" i="17"/>
  <c r="H32" i="17"/>
  <c r="H30" i="17"/>
  <c r="H29" i="17"/>
  <c r="H28" i="17"/>
  <c r="H27" i="17"/>
  <c r="H25" i="17"/>
  <c r="H24" i="17"/>
  <c r="H19" i="17"/>
  <c r="H17" i="17"/>
  <c r="H16" i="17"/>
  <c r="H59" i="21"/>
  <c r="H58" i="21"/>
  <c r="H57" i="21"/>
  <c r="H55" i="21"/>
  <c r="H54" i="21"/>
  <c r="H53" i="21"/>
  <c r="H52" i="21"/>
  <c r="H45" i="21"/>
  <c r="H44" i="21"/>
  <c r="H43" i="21"/>
  <c r="H42" i="21"/>
  <c r="H40" i="21"/>
  <c r="H39" i="21"/>
  <c r="H38" i="21"/>
  <c r="H37" i="21"/>
  <c r="H36" i="21"/>
  <c r="H34" i="21"/>
  <c r="H33" i="21"/>
  <c r="H32" i="21"/>
  <c r="H31" i="21"/>
  <c r="H26" i="21"/>
  <c r="H25" i="21"/>
  <c r="H24" i="21"/>
  <c r="H23" i="21"/>
  <c r="H22" i="21"/>
  <c r="H20" i="21"/>
  <c r="H19" i="21"/>
  <c r="H18" i="21"/>
  <c r="H17" i="21"/>
  <c r="H15" i="21"/>
  <c r="H14" i="21"/>
  <c r="H49" i="10"/>
  <c r="H48" i="10"/>
  <c r="H47" i="10"/>
  <c r="H45" i="10"/>
  <c r="H44" i="10"/>
  <c r="H43" i="10"/>
  <c r="H42" i="10"/>
  <c r="H35" i="10"/>
  <c r="H34" i="10"/>
  <c r="H32" i="10"/>
  <c r="H31" i="10"/>
  <c r="H30" i="10"/>
  <c r="H28" i="10"/>
  <c r="H27" i="10"/>
  <c r="H26" i="10"/>
  <c r="H21" i="10"/>
  <c r="H19" i="10"/>
  <c r="H18" i="10"/>
  <c r="H17" i="10"/>
  <c r="H15" i="10"/>
  <c r="H14" i="10"/>
  <c r="H72" i="8"/>
  <c r="H71" i="8"/>
  <c r="H70" i="8"/>
  <c r="H68" i="8"/>
  <c r="H67" i="8"/>
  <c r="H66" i="8"/>
  <c r="H65" i="8"/>
  <c r="H58" i="8"/>
  <c r="H57" i="8"/>
  <c r="H55" i="8"/>
  <c r="H54" i="8"/>
  <c r="H52" i="8"/>
  <c r="H51" i="8"/>
  <c r="H46" i="8"/>
  <c r="H45" i="8"/>
  <c r="H44" i="8"/>
  <c r="H42" i="8"/>
  <c r="H40" i="8"/>
  <c r="H39" i="8"/>
  <c r="H34" i="8"/>
  <c r="H33" i="8"/>
  <c r="H32" i="8"/>
  <c r="H30" i="8"/>
  <c r="H29" i="8"/>
  <c r="H27" i="8"/>
  <c r="H22" i="8"/>
  <c r="H21" i="8"/>
  <c r="H20" i="8"/>
  <c r="H18" i="8"/>
  <c r="H17" i="8"/>
  <c r="H14" i="14"/>
  <c r="H15" i="16"/>
  <c r="H15" i="20"/>
  <c r="H13" i="19"/>
  <c r="H14" i="18"/>
  <c r="H14" i="17"/>
  <c r="H13" i="21"/>
  <c r="H13" i="10"/>
  <c r="H15" i="8"/>
  <c r="J28" i="6"/>
  <c r="J27" i="6"/>
  <c r="F29" i="6"/>
  <c r="J31" i="6"/>
  <c r="J29" i="6"/>
  <c r="F31" i="6"/>
  <c r="F28" i="6"/>
  <c r="J30" i="6"/>
  <c r="F30" i="6"/>
  <c r="G31" i="6" l="1"/>
  <c r="G30" i="6"/>
  <c r="G29" i="6"/>
  <c r="G28" i="6"/>
  <c r="G27" i="6"/>
  <c r="C31" i="6"/>
  <c r="C30" i="6"/>
  <c r="C29" i="6"/>
  <c r="C28" i="6"/>
  <c r="H24" i="1"/>
  <c r="H23" i="1"/>
  <c r="H22" i="1"/>
  <c r="H21" i="1"/>
  <c r="H19" i="1"/>
  <c r="H18" i="1"/>
  <c r="H17" i="1"/>
  <c r="H16" i="1"/>
  <c r="H14" i="1"/>
  <c r="H13" i="1"/>
  <c r="H36" i="1"/>
  <c r="H35" i="1"/>
  <c r="H34" i="1"/>
  <c r="H32" i="1"/>
  <c r="H31" i="1"/>
  <c r="H49" i="1"/>
  <c r="H48" i="1"/>
  <c r="H46" i="1"/>
  <c r="H45" i="1"/>
  <c r="H44" i="1"/>
  <c r="H43" i="1"/>
  <c r="H50" i="1"/>
  <c r="F215" i="5" l="1"/>
  <c r="F216" i="5"/>
  <c r="F217" i="5"/>
  <c r="F218" i="5"/>
  <c r="F219" i="5"/>
  <c r="F220" i="5"/>
  <c r="F221" i="5"/>
  <c r="F222" i="5"/>
  <c r="F223" i="5"/>
  <c r="F224" i="5"/>
  <c r="F225" i="5"/>
  <c r="F226" i="5"/>
  <c r="F227" i="5"/>
  <c r="F228" i="5"/>
  <c r="F229" i="5"/>
  <c r="F230" i="5"/>
  <c r="F231" i="5"/>
  <c r="F232" i="5"/>
  <c r="F233" i="5"/>
  <c r="F234" i="5"/>
  <c r="F23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2" i="5"/>
  <c r="F3" i="5"/>
  <c r="F4" i="5"/>
  <c r="F5" i="5"/>
  <c r="F6" i="5"/>
  <c r="F7" i="5"/>
  <c r="F8" i="5"/>
  <c r="F9" i="5"/>
  <c r="F10" i="5"/>
  <c r="F11" i="5"/>
  <c r="F12" i="5"/>
  <c r="F13" i="5"/>
  <c r="F14" i="5"/>
  <c r="F15" i="5"/>
  <c r="F16" i="5"/>
  <c r="F17" i="5"/>
  <c r="F18" i="5"/>
  <c r="F19" i="5"/>
  <c r="F20" i="5"/>
  <c r="F21" i="5"/>
  <c r="F22" i="5"/>
  <c r="F23"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214" i="5"/>
  <c r="G181" i="5" l="1"/>
  <c r="G102" i="5"/>
  <c r="G180" i="5"/>
  <c r="G172" i="5"/>
  <c r="G156" i="5"/>
  <c r="G148" i="5"/>
  <c r="G54" i="5"/>
  <c r="G110" i="5"/>
  <c r="G94" i="5"/>
  <c r="G164" i="5"/>
  <c r="G113" i="5"/>
  <c r="G109" i="5"/>
  <c r="G105" i="5"/>
  <c r="G101" i="5"/>
  <c r="G46" i="5"/>
  <c r="G38" i="5"/>
  <c r="G30" i="5"/>
  <c r="G325" i="5"/>
  <c r="G317" i="5"/>
  <c r="G309" i="5"/>
  <c r="G301" i="5"/>
  <c r="G138" i="5"/>
  <c r="G130" i="5"/>
  <c r="G122" i="5"/>
  <c r="G114" i="5"/>
  <c r="G206" i="5"/>
  <c r="G198" i="5"/>
  <c r="G190" i="5"/>
  <c r="G182" i="5"/>
  <c r="G257" i="5"/>
  <c r="G249" i="5"/>
  <c r="G241" i="5"/>
  <c r="G294" i="5"/>
  <c r="G286" i="5"/>
  <c r="G278" i="5"/>
  <c r="G270" i="5"/>
  <c r="G21" i="5"/>
  <c r="G13" i="5"/>
  <c r="G5" i="5"/>
  <c r="G82" i="5"/>
  <c r="G74" i="5"/>
  <c r="G66" i="5"/>
  <c r="G58" i="5"/>
  <c r="G230" i="5"/>
  <c r="G97" i="5"/>
  <c r="G93" i="5"/>
  <c r="G89" i="5"/>
  <c r="G179" i="5"/>
  <c r="G175" i="5"/>
  <c r="G171" i="5"/>
  <c r="G167" i="5"/>
  <c r="G163" i="5"/>
  <c r="G159" i="5"/>
  <c r="G155" i="5"/>
  <c r="G151" i="5"/>
  <c r="G147" i="5"/>
  <c r="G143" i="5"/>
  <c r="G53" i="5"/>
  <c r="G49" i="5"/>
  <c r="G45" i="5"/>
  <c r="G41" i="5"/>
  <c r="G37" i="5"/>
  <c r="G33" i="5"/>
  <c r="G29" i="5"/>
  <c r="G25" i="5"/>
  <c r="G324" i="5"/>
  <c r="G320" i="5"/>
  <c r="G316" i="5"/>
  <c r="G312" i="5"/>
  <c r="G308" i="5"/>
  <c r="G112" i="5"/>
  <c r="G104" i="5"/>
  <c r="G96" i="5"/>
  <c r="G88" i="5"/>
  <c r="G174" i="5"/>
  <c r="G166" i="5"/>
  <c r="G158" i="5"/>
  <c r="G150" i="5"/>
  <c r="G146" i="5"/>
  <c r="G142" i="5"/>
  <c r="G52" i="5"/>
  <c r="G48" i="5"/>
  <c r="G44" i="5"/>
  <c r="G40" i="5"/>
  <c r="G36" i="5"/>
  <c r="G32" i="5"/>
  <c r="G28" i="5"/>
  <c r="G24" i="5"/>
  <c r="G323" i="5"/>
  <c r="G319" i="5"/>
  <c r="G315" i="5"/>
  <c r="G311" i="5"/>
  <c r="G307" i="5"/>
  <c r="G303" i="5"/>
  <c r="G299" i="5"/>
  <c r="G140" i="5"/>
  <c r="G108" i="5"/>
  <c r="G100" i="5"/>
  <c r="G92" i="5"/>
  <c r="G178" i="5"/>
  <c r="G170" i="5"/>
  <c r="G162" i="5"/>
  <c r="G154" i="5"/>
  <c r="G111" i="5"/>
  <c r="G107" i="5"/>
  <c r="G103" i="5"/>
  <c r="G99" i="5"/>
  <c r="G95" i="5"/>
  <c r="G91" i="5"/>
  <c r="G87" i="5"/>
  <c r="G177" i="5"/>
  <c r="G173" i="5"/>
  <c r="G169" i="5"/>
  <c r="G165" i="5"/>
  <c r="G161" i="5"/>
  <c r="G157" i="5"/>
  <c r="G153" i="5"/>
  <c r="G149" i="5"/>
  <c r="G145" i="5"/>
  <c r="G55" i="5"/>
  <c r="G51" i="5"/>
  <c r="G47" i="5"/>
  <c r="G43" i="5"/>
  <c r="G39" i="5"/>
  <c r="G35" i="5"/>
  <c r="G31" i="5"/>
  <c r="G27" i="5"/>
  <c r="G326" i="5"/>
  <c r="G322" i="5"/>
  <c r="G318" i="5"/>
  <c r="G314" i="5"/>
  <c r="G310" i="5"/>
  <c r="G306" i="5"/>
  <c r="G302" i="5"/>
  <c r="G298" i="5"/>
  <c r="G139" i="5"/>
  <c r="G135" i="5"/>
  <c r="G131" i="5"/>
  <c r="G127" i="5"/>
  <c r="G123" i="5"/>
  <c r="G119" i="5"/>
  <c r="G115" i="5"/>
  <c r="G211" i="5"/>
  <c r="G207" i="5"/>
  <c r="G203" i="5"/>
  <c r="G199" i="5"/>
  <c r="G195" i="5"/>
  <c r="G191" i="5"/>
  <c r="G187" i="5"/>
  <c r="G183" i="5"/>
  <c r="G262" i="5"/>
  <c r="G258" i="5"/>
  <c r="G254" i="5"/>
  <c r="G250" i="5"/>
  <c r="G246" i="5"/>
  <c r="G242" i="5"/>
  <c r="G238" i="5"/>
  <c r="G295" i="5"/>
  <c r="G291" i="5"/>
  <c r="G287" i="5"/>
  <c r="G283" i="5"/>
  <c r="G279" i="5"/>
  <c r="G275" i="5"/>
  <c r="G271" i="5"/>
  <c r="G267" i="5"/>
  <c r="G22" i="5"/>
  <c r="G18" i="5"/>
  <c r="G14" i="5"/>
  <c r="G10" i="5"/>
  <c r="G6" i="5"/>
  <c r="G2" i="5"/>
  <c r="G83" i="5"/>
  <c r="G79" i="5"/>
  <c r="G214" i="5"/>
  <c r="G106" i="5"/>
  <c r="G98" i="5"/>
  <c r="G90" i="5"/>
  <c r="G176" i="5"/>
  <c r="G168" i="5"/>
  <c r="G160" i="5"/>
  <c r="G152" i="5"/>
  <c r="G144" i="5"/>
  <c r="G50" i="5"/>
  <c r="G42" i="5"/>
  <c r="G34" i="5"/>
  <c r="G26" i="5"/>
  <c r="G321" i="5"/>
  <c r="G313" i="5"/>
  <c r="G305" i="5"/>
  <c r="G297" i="5"/>
  <c r="G134" i="5"/>
  <c r="G126" i="5"/>
  <c r="G118" i="5"/>
  <c r="G210" i="5"/>
  <c r="G202" i="5"/>
  <c r="G194" i="5"/>
  <c r="G186" i="5"/>
  <c r="G261" i="5"/>
  <c r="G253" i="5"/>
  <c r="G245" i="5"/>
  <c r="G237" i="5"/>
  <c r="G290" i="5"/>
  <c r="G282" i="5"/>
  <c r="G274" i="5"/>
  <c r="G266" i="5"/>
  <c r="G17" i="5"/>
  <c r="G9" i="5"/>
  <c r="G86" i="5"/>
  <c r="G78" i="5"/>
  <c r="G70" i="5"/>
  <c r="G62" i="5"/>
  <c r="G234" i="5"/>
  <c r="G226" i="5"/>
  <c r="G222" i="5"/>
  <c r="G218" i="5"/>
  <c r="G304" i="5"/>
  <c r="G300" i="5"/>
  <c r="G141" i="5"/>
  <c r="G137" i="5"/>
  <c r="G133" i="5"/>
  <c r="G129" i="5"/>
  <c r="G125" i="5"/>
  <c r="G121" i="5"/>
  <c r="G117" i="5"/>
  <c r="G213" i="5"/>
  <c r="G209" i="5"/>
  <c r="G205" i="5"/>
  <c r="G201" i="5"/>
  <c r="G197" i="5"/>
  <c r="G193" i="5"/>
  <c r="G189" i="5"/>
  <c r="G185" i="5"/>
  <c r="G264" i="5"/>
  <c r="G260" i="5"/>
  <c r="G256" i="5"/>
  <c r="G252" i="5"/>
  <c r="G248" i="5"/>
  <c r="G244" i="5"/>
  <c r="G240" i="5"/>
  <c r="G236" i="5"/>
  <c r="G293" i="5"/>
  <c r="G289" i="5"/>
  <c r="G285" i="5"/>
  <c r="G281" i="5"/>
  <c r="G277" i="5"/>
  <c r="G273" i="5"/>
  <c r="G269" i="5"/>
  <c r="G265" i="5"/>
  <c r="G20" i="5"/>
  <c r="G16" i="5"/>
  <c r="G12" i="5"/>
  <c r="G8" i="5"/>
  <c r="G4" i="5"/>
  <c r="G85" i="5"/>
  <c r="G81" i="5"/>
  <c r="G77" i="5"/>
  <c r="G73" i="5"/>
  <c r="G69" i="5"/>
  <c r="G65" i="5"/>
  <c r="G61" i="5"/>
  <c r="G57" i="5"/>
  <c r="G233" i="5"/>
  <c r="G136" i="5"/>
  <c r="G132" i="5"/>
  <c r="G128" i="5"/>
  <c r="G124" i="5"/>
  <c r="G120" i="5"/>
  <c r="G116" i="5"/>
  <c r="G212" i="5"/>
  <c r="G208" i="5"/>
  <c r="G204" i="5"/>
  <c r="G200" i="5"/>
  <c r="G196" i="5"/>
  <c r="G192" i="5"/>
  <c r="G188" i="5"/>
  <c r="G184" i="5"/>
  <c r="G263" i="5"/>
  <c r="G259" i="5"/>
  <c r="G255" i="5"/>
  <c r="G251" i="5"/>
  <c r="G247" i="5"/>
  <c r="G243" i="5"/>
  <c r="G239" i="5"/>
  <c r="G296" i="5"/>
  <c r="G292" i="5"/>
  <c r="G288" i="5"/>
  <c r="G284" i="5"/>
  <c r="G280" i="5"/>
  <c r="G276" i="5"/>
  <c r="G272" i="5"/>
  <c r="G268" i="5"/>
  <c r="G23" i="5"/>
  <c r="G19" i="5"/>
  <c r="G15" i="5"/>
  <c r="G11" i="5"/>
  <c r="G7" i="5"/>
  <c r="G3" i="5"/>
  <c r="G84" i="5"/>
  <c r="G80" i="5"/>
  <c r="G76" i="5"/>
  <c r="G72" i="5"/>
  <c r="G68" i="5"/>
  <c r="G64" i="5"/>
  <c r="G60" i="5"/>
  <c r="G56" i="5"/>
  <c r="G232" i="5"/>
  <c r="G228" i="5"/>
  <c r="G224" i="5"/>
  <c r="G220" i="5"/>
  <c r="G216" i="5"/>
  <c r="G75" i="5"/>
  <c r="G71" i="5"/>
  <c r="G67" i="5"/>
  <c r="G63" i="5"/>
  <c r="G59" i="5"/>
  <c r="G235" i="5"/>
  <c r="G231" i="5"/>
  <c r="G227" i="5"/>
  <c r="G223" i="5"/>
  <c r="G219" i="5"/>
  <c r="G215" i="5"/>
  <c r="G229" i="5"/>
  <c r="G225" i="5"/>
  <c r="G221" i="5"/>
  <c r="G217" i="5"/>
  <c r="G11" i="6" l="1"/>
  <c r="E11" i="12"/>
  <c r="D36" i="6" l="1"/>
  <c r="C10" i="12"/>
  <c r="E12" i="17"/>
  <c r="E6" i="12"/>
  <c r="E8" i="12"/>
  <c r="E7" i="12"/>
  <c r="E6" i="1"/>
  <c r="C3" i="1"/>
  <c r="E8" i="1"/>
  <c r="E7" i="1"/>
  <c r="E16" i="1"/>
  <c r="E70" i="14"/>
  <c r="J63" i="14"/>
  <c r="C62" i="14"/>
  <c r="E58" i="14"/>
  <c r="E53" i="14"/>
  <c r="E49" i="14"/>
  <c r="J44" i="14"/>
  <c r="C43" i="14"/>
  <c r="E39" i="14"/>
  <c r="E34" i="14"/>
  <c r="E29" i="14"/>
  <c r="I26" i="14"/>
  <c r="D24" i="14"/>
  <c r="E19" i="14"/>
  <c r="E14" i="14"/>
  <c r="E12" i="14"/>
  <c r="E8" i="14"/>
  <c r="C63" i="16"/>
  <c r="C48" i="16"/>
  <c r="J37" i="16"/>
  <c r="E28" i="16"/>
  <c r="E13" i="16"/>
  <c r="E70" i="20"/>
  <c r="E65" i="20"/>
  <c r="I60" i="20"/>
  <c r="D58" i="20"/>
  <c r="E53" i="20"/>
  <c r="I49" i="20"/>
  <c r="D47" i="20"/>
  <c r="E42" i="20"/>
  <c r="J37" i="20"/>
  <c r="C36" i="20"/>
  <c r="E31" i="20"/>
  <c r="C25" i="20"/>
  <c r="E21" i="20"/>
  <c r="E15" i="20"/>
  <c r="E13" i="20"/>
  <c r="E9" i="20"/>
  <c r="C5" i="20"/>
  <c r="E54" i="19"/>
  <c r="E49" i="19"/>
  <c r="I44" i="19"/>
  <c r="D42" i="19"/>
  <c r="E38" i="19"/>
  <c r="E33" i="19"/>
  <c r="E29" i="19"/>
  <c r="J24" i="19"/>
  <c r="C23" i="19"/>
  <c r="E18" i="19"/>
  <c r="E13" i="19"/>
  <c r="E11" i="19"/>
  <c r="C5" i="19"/>
  <c r="E65" i="18"/>
  <c r="E60" i="18"/>
  <c r="I55" i="18"/>
  <c r="D53" i="18"/>
  <c r="E49" i="18"/>
  <c r="E43" i="18"/>
  <c r="J39" i="18"/>
  <c r="C38" i="18"/>
  <c r="E33" i="18"/>
  <c r="E74" i="14"/>
  <c r="E68" i="14"/>
  <c r="I63" i="14"/>
  <c r="D61" i="14"/>
  <c r="E57" i="14"/>
  <c r="E52" i="14"/>
  <c r="E47" i="14"/>
  <c r="I44" i="14"/>
  <c r="D42" i="14"/>
  <c r="E38" i="14"/>
  <c r="E33" i="14"/>
  <c r="E28" i="14"/>
  <c r="E26" i="14"/>
  <c r="E23" i="14"/>
  <c r="E18" i="14"/>
  <c r="C12" i="14"/>
  <c r="E6" i="14"/>
  <c r="J63" i="16"/>
  <c r="J48" i="16"/>
  <c r="I37" i="16"/>
  <c r="C28" i="16"/>
  <c r="C13" i="16"/>
  <c r="E69" i="20"/>
  <c r="E64" i="20"/>
  <c r="E60" i="20"/>
  <c r="E57" i="20"/>
  <c r="E51" i="20"/>
  <c r="E49" i="20"/>
  <c r="E46" i="20"/>
  <c r="E40" i="20"/>
  <c r="I37" i="20"/>
  <c r="D35" i="20"/>
  <c r="E30" i="20"/>
  <c r="J25" i="20"/>
  <c r="E73" i="14"/>
  <c r="E63" i="14"/>
  <c r="E56" i="14"/>
  <c r="E46" i="14"/>
  <c r="E41" i="14"/>
  <c r="E32" i="14"/>
  <c r="C26" i="14"/>
  <c r="E17" i="14"/>
  <c r="C11" i="14"/>
  <c r="I63" i="16"/>
  <c r="I48" i="16"/>
  <c r="E56" i="20"/>
  <c r="C49" i="20"/>
  <c r="E39" i="20"/>
  <c r="E34" i="20"/>
  <c r="I25" i="20"/>
  <c r="E22" i="20"/>
  <c r="C12" i="20"/>
  <c r="E7" i="20"/>
  <c r="E50" i="19"/>
  <c r="E44" i="19"/>
  <c r="E40" i="19"/>
  <c r="E34" i="19"/>
  <c r="E27" i="19"/>
  <c r="E24" i="19"/>
  <c r="E19" i="19"/>
  <c r="C10" i="19"/>
  <c r="C3" i="19"/>
  <c r="E62" i="18"/>
  <c r="J55" i="18"/>
  <c r="E52" i="18"/>
  <c r="E46" i="18"/>
  <c r="D37" i="18"/>
  <c r="E31" i="18"/>
  <c r="E26" i="18"/>
  <c r="E24" i="18"/>
  <c r="E21" i="18"/>
  <c r="E16" i="18"/>
  <c r="I12" i="18"/>
  <c r="D10" i="18"/>
  <c r="E7" i="18"/>
  <c r="C3" i="18"/>
  <c r="E62" i="17"/>
  <c r="E57" i="17"/>
  <c r="E53" i="17"/>
  <c r="E50" i="17"/>
  <c r="E46" i="17"/>
  <c r="C38" i="17"/>
  <c r="E34" i="17"/>
  <c r="E29" i="17"/>
  <c r="E24" i="17"/>
  <c r="E22" i="17"/>
  <c r="E19" i="17"/>
  <c r="C12" i="17"/>
  <c r="E6" i="17"/>
  <c r="E59" i="21"/>
  <c r="E54" i="21"/>
  <c r="J48" i="21"/>
  <c r="C47" i="21"/>
  <c r="E43" i="21"/>
  <c r="E38" i="21"/>
  <c r="E33" i="21"/>
  <c r="J29" i="21"/>
  <c r="C28" i="21"/>
  <c r="E24" i="21"/>
  <c r="E19" i="21"/>
  <c r="E14" i="21"/>
  <c r="I11" i="21"/>
  <c r="D9" i="21"/>
  <c r="E6" i="21"/>
  <c r="E49" i="10"/>
  <c r="E44" i="10"/>
  <c r="J38" i="10"/>
  <c r="C37" i="10"/>
  <c r="E32" i="10"/>
  <c r="E27" i="10"/>
  <c r="I24" i="10"/>
  <c r="D22" i="10"/>
  <c r="E17" i="10"/>
  <c r="C11" i="10"/>
  <c r="E7" i="10"/>
  <c r="E48" i="1"/>
  <c r="E43" i="1"/>
  <c r="E39" i="1"/>
  <c r="E36" i="1"/>
  <c r="E31" i="1"/>
  <c r="E27" i="1"/>
  <c r="E24" i="1"/>
  <c r="E19" i="1"/>
  <c r="E14" i="1"/>
  <c r="I11" i="1"/>
  <c r="E68" i="8"/>
  <c r="C61" i="8"/>
  <c r="E57" i="8"/>
  <c r="E51" i="8"/>
  <c r="E49" i="8"/>
  <c r="E46" i="8"/>
  <c r="E40" i="8"/>
  <c r="I37" i="8"/>
  <c r="D35" i="8"/>
  <c r="E30" i="8"/>
  <c r="J25" i="8"/>
  <c r="C24" i="8"/>
  <c r="E20" i="8"/>
  <c r="C13" i="8"/>
  <c r="E7" i="8"/>
  <c r="C3" i="8"/>
  <c r="C16" i="13"/>
  <c r="C12" i="13"/>
  <c r="E50" i="12"/>
  <c r="E45" i="12"/>
  <c r="I42" i="12"/>
  <c r="D40" i="12"/>
  <c r="E35" i="12"/>
  <c r="E31" i="12"/>
  <c r="C25" i="12"/>
  <c r="E20" i="12"/>
  <c r="E15" i="12"/>
  <c r="J11" i="12"/>
  <c r="E72" i="14"/>
  <c r="E60" i="14"/>
  <c r="E50" i="14"/>
  <c r="E40" i="14"/>
  <c r="E20" i="14"/>
  <c r="D10" i="14"/>
  <c r="C5" i="14"/>
  <c r="C37" i="16"/>
  <c r="J13" i="16"/>
  <c r="E71" i="20"/>
  <c r="C60" i="20"/>
  <c r="J49" i="20"/>
  <c r="E28" i="20"/>
  <c r="D23" i="20"/>
  <c r="J13" i="20"/>
  <c r="E55" i="19"/>
  <c r="E41" i="19"/>
  <c r="E32" i="19"/>
  <c r="E21" i="19"/>
  <c r="J11" i="19"/>
  <c r="E6" i="19"/>
  <c r="E61" i="18"/>
  <c r="C55" i="18"/>
  <c r="E47" i="18"/>
  <c r="I39" i="18"/>
  <c r="E35" i="18"/>
  <c r="E27" i="18"/>
  <c r="C24" i="18"/>
  <c r="E19" i="18"/>
  <c r="J12" i="18"/>
  <c r="C5" i="18"/>
  <c r="E60" i="17"/>
  <c r="J53" i="17"/>
  <c r="D51" i="17"/>
  <c r="E44" i="17"/>
  <c r="I38" i="17"/>
  <c r="E35" i="17"/>
  <c r="E28" i="17"/>
  <c r="J22" i="17"/>
  <c r="D20" i="17"/>
  <c r="J12" i="17"/>
  <c r="D10" i="17"/>
  <c r="E8" i="17"/>
  <c r="C5" i="17"/>
  <c r="E57" i="21"/>
  <c r="D46" i="21"/>
  <c r="E40" i="21"/>
  <c r="E34" i="21"/>
  <c r="I29" i="21"/>
  <c r="E26" i="21"/>
  <c r="E20" i="21"/>
  <c r="E13" i="21"/>
  <c r="C11" i="21"/>
  <c r="E8" i="21"/>
  <c r="C5" i="21"/>
  <c r="E47" i="10"/>
  <c r="D36" i="10"/>
  <c r="E30" i="10"/>
  <c r="J24" i="10"/>
  <c r="E21" i="10"/>
  <c r="E14" i="10"/>
  <c r="E11" i="10"/>
  <c r="E8" i="10"/>
  <c r="E6" i="10"/>
  <c r="E49" i="1"/>
  <c r="C38" i="1"/>
  <c r="E32" i="1"/>
  <c r="C27" i="1"/>
  <c r="E22" i="1"/>
  <c r="E11" i="1"/>
  <c r="E67" i="8"/>
  <c r="I61" i="8"/>
  <c r="E58" i="8"/>
  <c r="C48" i="8"/>
  <c r="E42" i="8"/>
  <c r="E37" i="8"/>
  <c r="E33" i="8"/>
  <c r="D23" i="8"/>
  <c r="E17" i="8"/>
  <c r="E13" i="8"/>
  <c r="E10" i="8"/>
  <c r="C5" i="8"/>
  <c r="C14" i="13"/>
  <c r="E49" i="12"/>
  <c r="C41" i="12"/>
  <c r="E34" i="12"/>
  <c r="E28" i="12"/>
  <c r="E25" i="12"/>
  <c r="E19" i="12"/>
  <c r="C11" i="12"/>
  <c r="E14" i="23"/>
  <c r="H30" i="6"/>
  <c r="H28" i="6"/>
  <c r="E67" i="14"/>
  <c r="E59" i="14"/>
  <c r="E36" i="14"/>
  <c r="J26" i="14"/>
  <c r="E16" i="14"/>
  <c r="E9" i="14"/>
  <c r="E63" i="16"/>
  <c r="I13" i="16"/>
  <c r="E67" i="20"/>
  <c r="C59" i="20"/>
  <c r="C48" i="20"/>
  <c r="E37" i="20"/>
  <c r="E27" i="20"/>
  <c r="E19" i="20"/>
  <c r="I13" i="20"/>
  <c r="E10" i="20"/>
  <c r="E53" i="19"/>
  <c r="J44" i="19"/>
  <c r="E39" i="19"/>
  <c r="E31" i="19"/>
  <c r="I24" i="19"/>
  <c r="E17" i="19"/>
  <c r="I11" i="19"/>
  <c r="E8" i="19"/>
  <c r="E59" i="18"/>
  <c r="C54" i="18"/>
  <c r="E45" i="18"/>
  <c r="E39" i="18"/>
  <c r="E32" i="18"/>
  <c r="C23" i="18"/>
  <c r="E17" i="18"/>
  <c r="E12" i="18"/>
  <c r="E59" i="17"/>
  <c r="I53" i="17"/>
  <c r="E49" i="17"/>
  <c r="E43" i="17"/>
  <c r="E38" i="17"/>
  <c r="E33" i="17"/>
  <c r="E27" i="17"/>
  <c r="I22" i="17"/>
  <c r="E17" i="17"/>
  <c r="I12" i="17"/>
  <c r="C3" i="17"/>
  <c r="E55" i="21"/>
  <c r="I48" i="21"/>
  <c r="E45" i="21"/>
  <c r="E39" i="21"/>
  <c r="E32" i="21"/>
  <c r="E29" i="21"/>
  <c r="E25" i="21"/>
  <c r="E18" i="21"/>
  <c r="C10" i="21"/>
  <c r="C3" i="21"/>
  <c r="E45" i="10"/>
  <c r="I38" i="10"/>
  <c r="E35" i="10"/>
  <c r="E28" i="10"/>
  <c r="E24" i="10"/>
  <c r="E19" i="10"/>
  <c r="E13" i="10"/>
  <c r="C10" i="10"/>
  <c r="C5" i="10"/>
  <c r="E46" i="1"/>
  <c r="J39" i="1"/>
  <c r="D37" i="1"/>
  <c r="C26" i="1"/>
  <c r="E21" i="1"/>
  <c r="E13" i="1"/>
  <c r="C11" i="1"/>
  <c r="E72" i="8"/>
  <c r="E66" i="8"/>
  <c r="E61" i="8"/>
  <c r="E55" i="8"/>
  <c r="J49" i="8"/>
  <c r="D47" i="8"/>
  <c r="E39" i="8"/>
  <c r="C37" i="8"/>
  <c r="E32" i="8"/>
  <c r="I25" i="8"/>
  <c r="C12" i="8"/>
  <c r="C13" i="13"/>
  <c r="E47" i="12"/>
  <c r="E39" i="12"/>
  <c r="C24" i="12"/>
  <c r="E18" i="12"/>
  <c r="D9" i="12"/>
  <c r="D30" i="6"/>
  <c r="D28" i="6"/>
  <c r="D9" i="10"/>
  <c r="I39" i="1"/>
  <c r="J27" i="1"/>
  <c r="E22" i="8"/>
  <c r="C18" i="13"/>
  <c r="J42" i="12"/>
  <c r="E33" i="12"/>
  <c r="E27" i="12"/>
  <c r="E12" i="23"/>
  <c r="E54" i="14"/>
  <c r="E44" i="14"/>
  <c r="E35" i="14"/>
  <c r="C25" i="14"/>
  <c r="J12" i="14"/>
  <c r="J28" i="16"/>
  <c r="E66" i="20"/>
  <c r="E54" i="20"/>
  <c r="E45" i="20"/>
  <c r="C37" i="20"/>
  <c r="E25" i="20"/>
  <c r="E18" i="20"/>
  <c r="C13" i="20"/>
  <c r="E6" i="20"/>
  <c r="E51" i="19"/>
  <c r="C44" i="19"/>
  <c r="E37" i="19"/>
  <c r="E30" i="19"/>
  <c r="C24" i="19"/>
  <c r="E16" i="19"/>
  <c r="C11" i="19"/>
  <c r="E7" i="19"/>
  <c r="E66" i="18"/>
  <c r="E51" i="18"/>
  <c r="E42" i="18"/>
  <c r="C39" i="18"/>
  <c r="E30" i="18"/>
  <c r="J24" i="18"/>
  <c r="D22" i="18"/>
  <c r="E14" i="18"/>
  <c r="C12" i="18"/>
  <c r="E9" i="18"/>
  <c r="E64" i="17"/>
  <c r="E58" i="17"/>
  <c r="C53" i="17"/>
  <c r="E48" i="17"/>
  <c r="E42" i="17"/>
  <c r="C37" i="17"/>
  <c r="E32" i="17"/>
  <c r="E25" i="17"/>
  <c r="C22" i="17"/>
  <c r="E16" i="17"/>
  <c r="E9" i="17"/>
  <c r="E7" i="17"/>
  <c r="E53" i="21"/>
  <c r="E48" i="21"/>
  <c r="E44" i="21"/>
  <c r="E37" i="21"/>
  <c r="E31" i="21"/>
  <c r="C29" i="21"/>
  <c r="E23" i="21"/>
  <c r="E17" i="21"/>
  <c r="J11" i="21"/>
  <c r="E7" i="21"/>
  <c r="E43" i="10"/>
  <c r="E38" i="10"/>
  <c r="E34" i="10"/>
  <c r="E26" i="10"/>
  <c r="C24" i="10"/>
  <c r="E18" i="10"/>
  <c r="J11" i="10"/>
  <c r="E45" i="1"/>
  <c r="E35" i="1"/>
  <c r="D25" i="1"/>
  <c r="E18" i="1"/>
  <c r="C10" i="1"/>
  <c r="E71" i="8"/>
  <c r="C63" i="14"/>
  <c r="E21" i="14"/>
  <c r="E16" i="20"/>
  <c r="E48" i="19"/>
  <c r="D22" i="19"/>
  <c r="E64" i="18"/>
  <c r="E36" i="18"/>
  <c r="E63" i="17"/>
  <c r="J38" i="17"/>
  <c r="C21" i="17"/>
  <c r="E42" i="21"/>
  <c r="E22" i="21"/>
  <c r="E31" i="10"/>
  <c r="I11" i="10"/>
  <c r="E44" i="1"/>
  <c r="E23" i="1"/>
  <c r="C5" i="1"/>
  <c r="C60" i="8"/>
  <c r="I49" i="8"/>
  <c r="E29" i="8"/>
  <c r="E21" i="8"/>
  <c r="D11" i="8"/>
  <c r="C17" i="13"/>
  <c r="E53" i="12"/>
  <c r="E42" i="12"/>
  <c r="E32" i="12"/>
  <c r="D23" i="12"/>
  <c r="E51" i="14"/>
  <c r="E48" i="16"/>
  <c r="E43" i="20"/>
  <c r="D11" i="20"/>
  <c r="C43" i="19"/>
  <c r="E14" i="19"/>
  <c r="E55" i="18"/>
  <c r="E29" i="18"/>
  <c r="C11" i="18"/>
  <c r="D36" i="17"/>
  <c r="E14" i="17"/>
  <c r="E58" i="21"/>
  <c r="E36" i="21"/>
  <c r="E15" i="21"/>
  <c r="E48" i="10"/>
  <c r="C39" i="1"/>
  <c r="E17" i="1"/>
  <c r="E70" i="8"/>
  <c r="D59" i="8"/>
  <c r="C49" i="8"/>
  <c r="J37" i="8"/>
  <c r="E27" i="8"/>
  <c r="E18" i="8"/>
  <c r="E6" i="8"/>
  <c r="C15" i="13"/>
  <c r="E52" i="12"/>
  <c r="C42" i="12"/>
  <c r="E30" i="12"/>
  <c r="E22" i="12"/>
  <c r="E16" i="23"/>
  <c r="D29" i="6"/>
  <c r="E41" i="18"/>
  <c r="E47" i="17"/>
  <c r="D27" i="21"/>
  <c r="C38" i="10"/>
  <c r="E50" i="1"/>
  <c r="E52" i="8"/>
  <c r="E34" i="8"/>
  <c r="I13" i="8"/>
  <c r="E8" i="8"/>
  <c r="C10" i="13"/>
  <c r="E44" i="12"/>
  <c r="I25" i="12"/>
  <c r="C5" i="12"/>
  <c r="D31" i="6"/>
  <c r="E18" i="23"/>
  <c r="H29" i="6"/>
  <c r="C44" i="14"/>
  <c r="E7" i="14"/>
  <c r="E37" i="16"/>
  <c r="E33" i="20"/>
  <c r="E8" i="20"/>
  <c r="E35" i="19"/>
  <c r="D9" i="19"/>
  <c r="E50" i="18"/>
  <c r="I24" i="18"/>
  <c r="E8" i="18"/>
  <c r="C52" i="17"/>
  <c r="E30" i="17"/>
  <c r="C11" i="17"/>
  <c r="E52" i="21"/>
  <c r="E11" i="21"/>
  <c r="E42" i="10"/>
  <c r="C23" i="10"/>
  <c r="E34" i="1"/>
  <c r="J11" i="1"/>
  <c r="E65" i="8"/>
  <c r="E54" i="8"/>
  <c r="E45" i="8"/>
  <c r="C36" i="8"/>
  <c r="E25" i="8"/>
  <c r="J13" i="8"/>
  <c r="E9" i="8"/>
  <c r="C11" i="13"/>
  <c r="E46" i="12"/>
  <c r="E38" i="12"/>
  <c r="J25" i="12"/>
  <c r="E16" i="12"/>
  <c r="H31" i="6"/>
  <c r="H27" i="6"/>
  <c r="E31" i="14"/>
  <c r="I28" i="16"/>
  <c r="J60" i="20"/>
  <c r="C24" i="20"/>
  <c r="C3" i="20"/>
  <c r="E26" i="19"/>
  <c r="E20" i="18"/>
  <c r="E6" i="18"/>
  <c r="C48" i="21"/>
  <c r="E15" i="10"/>
  <c r="I27" i="1"/>
  <c r="J61" i="8"/>
  <c r="E44" i="8"/>
  <c r="C25" i="8"/>
  <c r="E36" i="12"/>
  <c r="E14" i="12"/>
  <c r="D27" i="6"/>
  <c r="I11" i="12"/>
  <c r="H85" i="5"/>
  <c r="H4" i="5"/>
  <c r="H86" i="5"/>
  <c r="H181" i="5"/>
  <c r="M364" i="32" l="1"/>
  <c r="I181" i="5"/>
  <c r="AA181" i="5" s="1"/>
  <c r="AB181" i="5" s="1"/>
  <c r="G5" i="29"/>
  <c r="X2" i="29" l="1"/>
  <c r="Q9" i="24" s="1"/>
  <c r="R65" i="29"/>
  <c r="M72" i="24" s="1"/>
  <c r="X29" i="29"/>
  <c r="Q36" i="24" s="1"/>
  <c r="X28" i="29"/>
  <c r="U27" i="29"/>
  <c r="O34" i="24" s="1"/>
  <c r="R26" i="29"/>
  <c r="X24" i="29"/>
  <c r="Q31" i="24" s="1"/>
  <c r="U23" i="29"/>
  <c r="O30" i="24" s="1"/>
  <c r="R22" i="29"/>
  <c r="X20" i="29"/>
  <c r="Q27" i="24" s="1"/>
  <c r="U19" i="29"/>
  <c r="O26" i="24" s="1"/>
  <c r="R18" i="29"/>
  <c r="X16" i="29"/>
  <c r="Q23" i="24" s="1"/>
  <c r="U15" i="29"/>
  <c r="R14" i="29"/>
  <c r="X12" i="29"/>
  <c r="U11" i="29"/>
  <c r="O18" i="24" s="1"/>
  <c r="R10" i="29"/>
  <c r="X8" i="29"/>
  <c r="Q15" i="24" s="1"/>
  <c r="U7" i="29"/>
  <c r="O14" i="24" s="1"/>
  <c r="R6" i="29"/>
  <c r="X4" i="29"/>
  <c r="Q11" i="24" s="1"/>
  <c r="U3" i="29"/>
  <c r="O10" i="24" s="1"/>
  <c r="R2" i="29"/>
  <c r="R3" i="29"/>
  <c r="U9" i="29"/>
  <c r="O16" i="24" s="1"/>
  <c r="U5" i="29"/>
  <c r="O12" i="24" s="1"/>
  <c r="U26" i="29"/>
  <c r="O33" i="24" s="1"/>
  <c r="U22" i="29"/>
  <c r="O29" i="24" s="1"/>
  <c r="U18" i="29"/>
  <c r="O25" i="24" s="1"/>
  <c r="U14" i="29"/>
  <c r="O21" i="24" s="1"/>
  <c r="X11" i="29"/>
  <c r="Q18" i="24" s="1"/>
  <c r="X7" i="29"/>
  <c r="X3" i="29"/>
  <c r="Q10" i="24" s="1"/>
  <c r="U29" i="29"/>
  <c r="O36" i="24" s="1"/>
  <c r="U28" i="29"/>
  <c r="O35" i="24" s="1"/>
  <c r="R27" i="29"/>
  <c r="X25" i="29"/>
  <c r="Q32" i="24" s="1"/>
  <c r="U24" i="29"/>
  <c r="R23" i="29"/>
  <c r="X21" i="29"/>
  <c r="Q28" i="24" s="1"/>
  <c r="U20" i="29"/>
  <c r="O27" i="24" s="1"/>
  <c r="R19" i="29"/>
  <c r="X17" i="29"/>
  <c r="Q24" i="24" s="1"/>
  <c r="U16" i="29"/>
  <c r="R15" i="29"/>
  <c r="X13" i="29"/>
  <c r="Q20" i="24" s="1"/>
  <c r="U12" i="29"/>
  <c r="O19" i="24" s="1"/>
  <c r="R11" i="29"/>
  <c r="X9" i="29"/>
  <c r="Q16" i="24" s="1"/>
  <c r="U8" i="29"/>
  <c r="O15" i="24" s="1"/>
  <c r="R7" i="29"/>
  <c r="X5" i="29"/>
  <c r="Q12" i="24" s="1"/>
  <c r="U4" i="29"/>
  <c r="O11" i="24" s="1"/>
  <c r="X10" i="29"/>
  <c r="Q17" i="24" s="1"/>
  <c r="X6" i="29"/>
  <c r="X27" i="29"/>
  <c r="Q34" i="24" s="1"/>
  <c r="X23" i="29"/>
  <c r="Q30" i="24" s="1"/>
  <c r="R21" i="29"/>
  <c r="R17" i="29"/>
  <c r="R13" i="29"/>
  <c r="R9" i="29"/>
  <c r="R5" i="29"/>
  <c r="U2" i="29"/>
  <c r="O9" i="24" s="1"/>
  <c r="R29" i="29"/>
  <c r="R28" i="29"/>
  <c r="X26" i="29"/>
  <c r="Q33" i="24" s="1"/>
  <c r="U25" i="29"/>
  <c r="O32" i="24" s="1"/>
  <c r="R24" i="29"/>
  <c r="X22" i="29"/>
  <c r="Q29" i="24" s="1"/>
  <c r="U21" i="29"/>
  <c r="R20" i="29"/>
  <c r="X18" i="29"/>
  <c r="U17" i="29"/>
  <c r="O24" i="24" s="1"/>
  <c r="R16" i="29"/>
  <c r="X14" i="29"/>
  <c r="Q21" i="24" s="1"/>
  <c r="U13" i="29"/>
  <c r="O20" i="24" s="1"/>
  <c r="R12" i="29"/>
  <c r="R8" i="29"/>
  <c r="R4" i="29"/>
  <c r="R25" i="29"/>
  <c r="X19" i="29"/>
  <c r="Q26" i="24" s="1"/>
  <c r="X15" i="29"/>
  <c r="Q22" i="24" s="1"/>
  <c r="U10" i="29"/>
  <c r="O17" i="24" s="1"/>
  <c r="U6" i="29"/>
  <c r="O13" i="24" s="1"/>
  <c r="X44" i="29"/>
  <c r="Q51" i="24" s="1"/>
  <c r="X95" i="29"/>
  <c r="Q102" i="24" s="1"/>
  <c r="U78" i="29"/>
  <c r="O85" i="24" s="1"/>
  <c r="X52" i="29"/>
  <c r="Q59" i="24" s="1"/>
  <c r="U31" i="29"/>
  <c r="O38" i="24" s="1"/>
  <c r="U94" i="29"/>
  <c r="O101" i="24" s="1"/>
  <c r="X63" i="29"/>
  <c r="Q70" i="24" s="1"/>
  <c r="U47" i="29"/>
  <c r="O54" i="24" s="1"/>
  <c r="R30" i="29"/>
  <c r="M37" i="24" s="1"/>
  <c r="R61" i="29"/>
  <c r="M68" i="24" s="1"/>
  <c r="X36" i="29"/>
  <c r="Q43" i="24" s="1"/>
  <c r="X79" i="29"/>
  <c r="Q86" i="24" s="1"/>
  <c r="U63" i="29"/>
  <c r="O70" i="24" s="1"/>
  <c r="R45" i="29"/>
  <c r="M52" i="24" s="1"/>
  <c r="X31" i="29"/>
  <c r="Q38" i="24" s="1"/>
  <c r="X39" i="29"/>
  <c r="Q46" i="24" s="1"/>
  <c r="X47" i="29"/>
  <c r="Q54" i="24" s="1"/>
  <c r="X55" i="29"/>
  <c r="Q62" i="24" s="1"/>
  <c r="X67" i="29"/>
  <c r="Q74" i="24" s="1"/>
  <c r="X83" i="29"/>
  <c r="Q90" i="24" s="1"/>
  <c r="X99" i="29"/>
  <c r="Q106" i="24" s="1"/>
  <c r="U35" i="29"/>
  <c r="O42" i="24" s="1"/>
  <c r="U51" i="29"/>
  <c r="O58" i="24" s="1"/>
  <c r="U67" i="29"/>
  <c r="O74" i="24" s="1"/>
  <c r="U82" i="29"/>
  <c r="O89" i="24" s="1"/>
  <c r="U98" i="29"/>
  <c r="O105" i="24" s="1"/>
  <c r="R49" i="29"/>
  <c r="M56" i="24" s="1"/>
  <c r="R109" i="29"/>
  <c r="M116" i="24" s="1"/>
  <c r="R105" i="29"/>
  <c r="M112" i="24" s="1"/>
  <c r="R101" i="29"/>
  <c r="M108" i="24" s="1"/>
  <c r="R97" i="29"/>
  <c r="M104" i="24" s="1"/>
  <c r="R93" i="29"/>
  <c r="M100" i="24" s="1"/>
  <c r="R89" i="29"/>
  <c r="M96" i="24" s="1"/>
  <c r="R85" i="29"/>
  <c r="M92" i="24" s="1"/>
  <c r="R81" i="29"/>
  <c r="M88" i="24" s="1"/>
  <c r="R77" i="29"/>
  <c r="M84" i="24" s="1"/>
  <c r="R108" i="29"/>
  <c r="M115" i="24" s="1"/>
  <c r="R104" i="29"/>
  <c r="M111" i="24" s="1"/>
  <c r="R100" i="29"/>
  <c r="M107" i="24" s="1"/>
  <c r="R96" i="29"/>
  <c r="M103" i="24" s="1"/>
  <c r="R92" i="29"/>
  <c r="M99" i="24" s="1"/>
  <c r="R88" i="29"/>
  <c r="M95" i="24" s="1"/>
  <c r="R84" i="29"/>
  <c r="M91" i="24" s="1"/>
  <c r="R80" i="29"/>
  <c r="M87" i="24" s="1"/>
  <c r="R76" i="29"/>
  <c r="M83" i="24" s="1"/>
  <c r="R72" i="29"/>
  <c r="M79" i="24" s="1"/>
  <c r="R68" i="29"/>
  <c r="M75" i="24" s="1"/>
  <c r="R64" i="29"/>
  <c r="M71" i="24" s="1"/>
  <c r="R60" i="29"/>
  <c r="M67" i="24" s="1"/>
  <c r="R56" i="29"/>
  <c r="M63" i="24" s="1"/>
  <c r="R52" i="29"/>
  <c r="M59" i="24" s="1"/>
  <c r="R48" i="29"/>
  <c r="M55" i="24" s="1"/>
  <c r="R44" i="29"/>
  <c r="M51" i="24" s="1"/>
  <c r="R40" i="29"/>
  <c r="M47" i="24" s="1"/>
  <c r="R36" i="29"/>
  <c r="M43" i="24" s="1"/>
  <c r="R33" i="29"/>
  <c r="M40" i="24" s="1"/>
  <c r="U109" i="29"/>
  <c r="O116" i="24" s="1"/>
  <c r="U105" i="29"/>
  <c r="O112" i="24" s="1"/>
  <c r="U101" i="29"/>
  <c r="O108" i="24" s="1"/>
  <c r="U97" i="29"/>
  <c r="O104" i="24" s="1"/>
  <c r="U93" i="29"/>
  <c r="O100" i="24" s="1"/>
  <c r="U89" i="29"/>
  <c r="O96" i="24" s="1"/>
  <c r="U85" i="29"/>
  <c r="O92" i="24" s="1"/>
  <c r="U81" i="29"/>
  <c r="O88" i="24" s="1"/>
  <c r="U77" i="29"/>
  <c r="O84" i="24" s="1"/>
  <c r="U73" i="29"/>
  <c r="O80" i="24" s="1"/>
  <c r="U70" i="29"/>
  <c r="O77" i="24" s="1"/>
  <c r="U66" i="29"/>
  <c r="O73" i="24" s="1"/>
  <c r="U62" i="29"/>
  <c r="O69" i="24" s="1"/>
  <c r="U58" i="29"/>
  <c r="O65" i="24" s="1"/>
  <c r="U54" i="29"/>
  <c r="O61" i="24" s="1"/>
  <c r="U50" i="29"/>
  <c r="O57" i="24" s="1"/>
  <c r="U46" i="29"/>
  <c r="O53" i="24" s="1"/>
  <c r="U42" i="29"/>
  <c r="O49" i="24" s="1"/>
  <c r="U38" i="29"/>
  <c r="O45" i="24" s="1"/>
  <c r="U34" i="29"/>
  <c r="O41" i="24" s="1"/>
  <c r="U30" i="29"/>
  <c r="O37" i="24" s="1"/>
  <c r="X106" i="29"/>
  <c r="Q113" i="24" s="1"/>
  <c r="X102" i="29"/>
  <c r="Q109" i="24" s="1"/>
  <c r="X98" i="29"/>
  <c r="Q105" i="24" s="1"/>
  <c r="X94" i="29"/>
  <c r="Q101" i="24" s="1"/>
  <c r="X90" i="29"/>
  <c r="Q97" i="24" s="1"/>
  <c r="X86" i="29"/>
  <c r="Q93" i="24" s="1"/>
  <c r="X82" i="29"/>
  <c r="Q89" i="24" s="1"/>
  <c r="X78" i="29"/>
  <c r="Q85" i="24" s="1"/>
  <c r="X74" i="29"/>
  <c r="Q81" i="24" s="1"/>
  <c r="X70" i="29"/>
  <c r="Q77" i="24" s="1"/>
  <c r="X66" i="29"/>
  <c r="Q73" i="24" s="1"/>
  <c r="X62" i="29"/>
  <c r="Q69" i="24" s="1"/>
  <c r="X58" i="29"/>
  <c r="Q65" i="24" s="1"/>
  <c r="X54" i="29"/>
  <c r="Q61" i="24" s="1"/>
  <c r="X50" i="29"/>
  <c r="Q57" i="24" s="1"/>
  <c r="X46" i="29"/>
  <c r="Q53" i="24" s="1"/>
  <c r="X42" i="29"/>
  <c r="Q49" i="24" s="1"/>
  <c r="X38" i="29"/>
  <c r="Q45" i="24" s="1"/>
  <c r="X34" i="29"/>
  <c r="Q41" i="24" s="1"/>
  <c r="X30" i="29"/>
  <c r="Q37" i="24" s="1"/>
  <c r="X85" i="29"/>
  <c r="Q92" i="24" s="1"/>
  <c r="X49" i="29"/>
  <c r="Q56" i="24" s="1"/>
  <c r="X41" i="29"/>
  <c r="Q48" i="24" s="1"/>
  <c r="X37" i="29"/>
  <c r="Q44" i="24" s="1"/>
  <c r="R106" i="29"/>
  <c r="M113" i="24" s="1"/>
  <c r="R94" i="29"/>
  <c r="M101" i="24" s="1"/>
  <c r="R86" i="29"/>
  <c r="M93" i="24" s="1"/>
  <c r="R78" i="29"/>
  <c r="M85" i="24" s="1"/>
  <c r="R70" i="29"/>
  <c r="M77" i="24" s="1"/>
  <c r="R66" i="29"/>
  <c r="M73" i="24" s="1"/>
  <c r="R54" i="29"/>
  <c r="M61" i="24" s="1"/>
  <c r="R46" i="29"/>
  <c r="M53" i="24" s="1"/>
  <c r="R42" i="29"/>
  <c r="M49" i="24" s="1"/>
  <c r="R31" i="29"/>
  <c r="M38" i="24" s="1"/>
  <c r="U103" i="29"/>
  <c r="O110" i="24" s="1"/>
  <c r="U95" i="29"/>
  <c r="O102" i="24" s="1"/>
  <c r="U87" i="29"/>
  <c r="O94" i="24" s="1"/>
  <c r="U79" i="29"/>
  <c r="O86" i="24" s="1"/>
  <c r="U71" i="29"/>
  <c r="O78" i="24" s="1"/>
  <c r="U64" i="29"/>
  <c r="O71" i="24" s="1"/>
  <c r="U56" i="29"/>
  <c r="O63" i="24" s="1"/>
  <c r="U48" i="29"/>
  <c r="O55" i="24" s="1"/>
  <c r="U40" i="29"/>
  <c r="O47" i="24" s="1"/>
  <c r="U36" i="29"/>
  <c r="O43" i="24" s="1"/>
  <c r="X108" i="29"/>
  <c r="Q115" i="24" s="1"/>
  <c r="X96" i="29"/>
  <c r="Q103" i="24" s="1"/>
  <c r="X88" i="29"/>
  <c r="Q95" i="24" s="1"/>
  <c r="X84" i="29"/>
  <c r="Q91" i="24" s="1"/>
  <c r="X76" i="29"/>
  <c r="Q83" i="24" s="1"/>
  <c r="X64" i="29"/>
  <c r="Q71" i="24" s="1"/>
  <c r="X60" i="29"/>
  <c r="Q67" i="24" s="1"/>
  <c r="R107" i="29"/>
  <c r="M114" i="24" s="1"/>
  <c r="R103" i="29"/>
  <c r="M110" i="24" s="1"/>
  <c r="R99" i="29"/>
  <c r="M106" i="24" s="1"/>
  <c r="R95" i="29"/>
  <c r="M102" i="24" s="1"/>
  <c r="R91" i="29"/>
  <c r="M98" i="24" s="1"/>
  <c r="R87" i="29"/>
  <c r="M94" i="24" s="1"/>
  <c r="R83" i="29"/>
  <c r="M90" i="24" s="1"/>
  <c r="R79" i="29"/>
  <c r="M86" i="24" s="1"/>
  <c r="R75" i="29"/>
  <c r="M82" i="24" s="1"/>
  <c r="R71" i="29"/>
  <c r="M78" i="24" s="1"/>
  <c r="R67" i="29"/>
  <c r="M74" i="24" s="1"/>
  <c r="R63" i="29"/>
  <c r="M70" i="24" s="1"/>
  <c r="R59" i="29"/>
  <c r="M66" i="24" s="1"/>
  <c r="R55" i="29"/>
  <c r="M62" i="24" s="1"/>
  <c r="R51" i="29"/>
  <c r="M58" i="24" s="1"/>
  <c r="R47" i="29"/>
  <c r="M54" i="24" s="1"/>
  <c r="R43" i="29"/>
  <c r="M50" i="24" s="1"/>
  <c r="R39" i="29"/>
  <c r="M46" i="24" s="1"/>
  <c r="R35" i="29"/>
  <c r="M42" i="24" s="1"/>
  <c r="R32" i="29"/>
  <c r="M39" i="24" s="1"/>
  <c r="U108" i="29"/>
  <c r="O115" i="24" s="1"/>
  <c r="U104" i="29"/>
  <c r="O111" i="24" s="1"/>
  <c r="U100" i="29"/>
  <c r="O107" i="24" s="1"/>
  <c r="U96" i="29"/>
  <c r="O103" i="24" s="1"/>
  <c r="U92" i="29"/>
  <c r="O99" i="24" s="1"/>
  <c r="U88" i="29"/>
  <c r="O95" i="24" s="1"/>
  <c r="U84" i="29"/>
  <c r="O91" i="24" s="1"/>
  <c r="U80" i="29"/>
  <c r="O87" i="24" s="1"/>
  <c r="U76" i="29"/>
  <c r="O83" i="24" s="1"/>
  <c r="U72" i="29"/>
  <c r="O79" i="24" s="1"/>
  <c r="U69" i="29"/>
  <c r="O76" i="24" s="1"/>
  <c r="U65" i="29"/>
  <c r="O72" i="24" s="1"/>
  <c r="U61" i="29"/>
  <c r="O68" i="24" s="1"/>
  <c r="U57" i="29"/>
  <c r="O64" i="24" s="1"/>
  <c r="U53" i="29"/>
  <c r="O60" i="24" s="1"/>
  <c r="U49" i="29"/>
  <c r="O56" i="24" s="1"/>
  <c r="U45" i="29"/>
  <c r="O52" i="24" s="1"/>
  <c r="U41" i="29"/>
  <c r="O48" i="24" s="1"/>
  <c r="U37" i="29"/>
  <c r="O44" i="24" s="1"/>
  <c r="U33" i="29"/>
  <c r="O40" i="24" s="1"/>
  <c r="X109" i="29"/>
  <c r="Q116" i="24" s="1"/>
  <c r="X105" i="29"/>
  <c r="Q112" i="24" s="1"/>
  <c r="X101" i="29"/>
  <c r="Q108" i="24" s="1"/>
  <c r="X97" i="29"/>
  <c r="Q104" i="24" s="1"/>
  <c r="X93" i="29"/>
  <c r="Q100" i="24" s="1"/>
  <c r="X89" i="29"/>
  <c r="Q96" i="24" s="1"/>
  <c r="X81" i="29"/>
  <c r="Q88" i="24" s="1"/>
  <c r="X77" i="29"/>
  <c r="Q84" i="24" s="1"/>
  <c r="X73" i="29"/>
  <c r="Q80" i="24" s="1"/>
  <c r="X69" i="29"/>
  <c r="Q76" i="24" s="1"/>
  <c r="X65" i="29"/>
  <c r="Q72" i="24" s="1"/>
  <c r="X61" i="29"/>
  <c r="Q68" i="24" s="1"/>
  <c r="X57" i="29"/>
  <c r="Q64" i="24" s="1"/>
  <c r="X53" i="29"/>
  <c r="Q60" i="24" s="1"/>
  <c r="X45" i="29"/>
  <c r="Q52" i="24" s="1"/>
  <c r="X33" i="29"/>
  <c r="Q40" i="24" s="1"/>
  <c r="R102" i="29"/>
  <c r="R98" i="29"/>
  <c r="M105" i="24" s="1"/>
  <c r="R90" i="29"/>
  <c r="M97" i="24" s="1"/>
  <c r="R82" i="29"/>
  <c r="R74" i="29"/>
  <c r="M81" i="24" s="1"/>
  <c r="R62" i="29"/>
  <c r="M69" i="24" s="1"/>
  <c r="R58" i="29"/>
  <c r="M65" i="24" s="1"/>
  <c r="R50" i="29"/>
  <c r="R38" i="29"/>
  <c r="M45" i="24" s="1"/>
  <c r="R34" i="29"/>
  <c r="M41" i="24" s="1"/>
  <c r="U107" i="29"/>
  <c r="O114" i="24" s="1"/>
  <c r="U99" i="29"/>
  <c r="O106" i="24" s="1"/>
  <c r="U91" i="29"/>
  <c r="O98" i="24" s="1"/>
  <c r="U83" i="29"/>
  <c r="O90" i="24" s="1"/>
  <c r="U75" i="29"/>
  <c r="O82" i="24" s="1"/>
  <c r="U68" i="29"/>
  <c r="O75" i="24" s="1"/>
  <c r="U60" i="29"/>
  <c r="O67" i="24" s="1"/>
  <c r="U52" i="29"/>
  <c r="O59" i="24" s="1"/>
  <c r="U44" i="29"/>
  <c r="O51" i="24" s="1"/>
  <c r="U32" i="29"/>
  <c r="O39" i="24" s="1"/>
  <c r="X104" i="29"/>
  <c r="Q111" i="24" s="1"/>
  <c r="X100" i="29"/>
  <c r="Q107" i="24" s="1"/>
  <c r="X92" i="29"/>
  <c r="Q99" i="24" s="1"/>
  <c r="X80" i="29"/>
  <c r="Q87" i="24" s="1"/>
  <c r="X72" i="29"/>
  <c r="Q79" i="24" s="1"/>
  <c r="X68" i="29"/>
  <c r="Q75" i="24" s="1"/>
  <c r="X32" i="29"/>
  <c r="Q39" i="24" s="1"/>
  <c r="X40" i="29"/>
  <c r="Q47" i="24" s="1"/>
  <c r="X48" i="29"/>
  <c r="Q55" i="24" s="1"/>
  <c r="X56" i="29"/>
  <c r="Q63" i="24" s="1"/>
  <c r="X71" i="29"/>
  <c r="Q78" i="24" s="1"/>
  <c r="X87" i="29"/>
  <c r="Q94" i="24" s="1"/>
  <c r="X103" i="29"/>
  <c r="Q110" i="24" s="1"/>
  <c r="U39" i="29"/>
  <c r="O46" i="24" s="1"/>
  <c r="U55" i="29"/>
  <c r="U86" i="29"/>
  <c r="O93" i="24" s="1"/>
  <c r="U102" i="29"/>
  <c r="O109" i="24" s="1"/>
  <c r="R37" i="29"/>
  <c r="M44" i="24" s="1"/>
  <c r="R53" i="29"/>
  <c r="M60" i="24" s="1"/>
  <c r="R69" i="29"/>
  <c r="M76" i="24" s="1"/>
  <c r="X35" i="29"/>
  <c r="Q42" i="24" s="1"/>
  <c r="X43" i="29"/>
  <c r="Q50" i="24" s="1"/>
  <c r="X51" i="29"/>
  <c r="Q58" i="24" s="1"/>
  <c r="X59" i="29"/>
  <c r="Q66" i="24" s="1"/>
  <c r="X75" i="29"/>
  <c r="Q82" i="24" s="1"/>
  <c r="X91" i="29"/>
  <c r="Q98" i="24" s="1"/>
  <c r="X107" i="29"/>
  <c r="Q114" i="24" s="1"/>
  <c r="U43" i="29"/>
  <c r="O50" i="24" s="1"/>
  <c r="U59" i="29"/>
  <c r="O66" i="24" s="1"/>
  <c r="U74" i="29"/>
  <c r="O81" i="24" s="1"/>
  <c r="U90" i="29"/>
  <c r="O97" i="24" s="1"/>
  <c r="U106" i="29"/>
  <c r="O113" i="24" s="1"/>
  <c r="R41" i="29"/>
  <c r="M48" i="24" s="1"/>
  <c r="R57" i="29"/>
  <c r="M64" i="24" s="1"/>
  <c r="R73" i="29"/>
  <c r="M80" i="24" s="1"/>
  <c r="O109" i="29" l="1"/>
  <c r="K116" i="24"/>
  <c r="P88" i="29"/>
  <c r="L95" i="24" s="1"/>
  <c r="P106" i="29"/>
  <c r="L113" i="24" s="1"/>
  <c r="O96" i="29"/>
  <c r="P94" i="29"/>
  <c r="L101" i="24" s="1"/>
  <c r="O49" i="29"/>
  <c r="O108" i="29"/>
  <c r="O105" i="29"/>
  <c r="V36" i="29"/>
  <c r="P43" i="24" s="1"/>
  <c r="O85" i="29"/>
  <c r="O52" i="29"/>
  <c r="O4" i="29"/>
  <c r="M11" i="24"/>
  <c r="P4" i="29"/>
  <c r="L11" i="24" s="1"/>
  <c r="M27" i="24"/>
  <c r="O20" i="29"/>
  <c r="M24" i="24"/>
  <c r="O17" i="29"/>
  <c r="Q13" i="24"/>
  <c r="M14" i="24"/>
  <c r="O7" i="29"/>
  <c r="O23" i="29"/>
  <c r="M30" i="24"/>
  <c r="O3" i="29"/>
  <c r="M10" i="24"/>
  <c r="M13" i="24"/>
  <c r="O6" i="29"/>
  <c r="M29" i="24"/>
  <c r="P22" i="29"/>
  <c r="L29" i="24" s="1"/>
  <c r="O22" i="29"/>
  <c r="O56" i="29"/>
  <c r="P62" i="29"/>
  <c r="L69" i="24" s="1"/>
  <c r="P102" i="29"/>
  <c r="L109" i="24" s="1"/>
  <c r="M109" i="24"/>
  <c r="M15" i="24"/>
  <c r="O8" i="29"/>
  <c r="M23" i="24"/>
  <c r="O16" i="29"/>
  <c r="O28" i="24"/>
  <c r="M12" i="24"/>
  <c r="O5" i="29"/>
  <c r="M28" i="24"/>
  <c r="P21" i="29"/>
  <c r="L28" i="24" s="1"/>
  <c r="O21" i="29"/>
  <c r="M26" i="24"/>
  <c r="O19" i="29"/>
  <c r="O31" i="24"/>
  <c r="M9" i="24"/>
  <c r="O2" i="29"/>
  <c r="Q19" i="24"/>
  <c r="M25" i="24"/>
  <c r="O18" i="29"/>
  <c r="Q35" i="24"/>
  <c r="P50" i="29"/>
  <c r="L57" i="24" s="1"/>
  <c r="M57" i="24"/>
  <c r="M89" i="24"/>
  <c r="M19" i="24"/>
  <c r="O12" i="29"/>
  <c r="O28" i="29"/>
  <c r="M35" i="24"/>
  <c r="O9" i="29"/>
  <c r="M16" i="24"/>
  <c r="M22" i="24"/>
  <c r="O15" i="29"/>
  <c r="M21" i="24"/>
  <c r="O14" i="29"/>
  <c r="O55" i="29"/>
  <c r="O62" i="24"/>
  <c r="P25" i="29"/>
  <c r="L32" i="24" s="1"/>
  <c r="M32" i="24"/>
  <c r="O25" i="29"/>
  <c r="Q25" i="24"/>
  <c r="O24" i="29"/>
  <c r="M31" i="24"/>
  <c r="O29" i="29"/>
  <c r="M36" i="24"/>
  <c r="M20" i="24"/>
  <c r="O13" i="29"/>
  <c r="M18" i="24"/>
  <c r="O11" i="29"/>
  <c r="O23" i="24"/>
  <c r="M34" i="24"/>
  <c r="O27" i="29"/>
  <c r="V7" i="29"/>
  <c r="P14" i="24" s="1"/>
  <c r="Q14" i="24"/>
  <c r="M17" i="24"/>
  <c r="O10" i="29"/>
  <c r="O22" i="24"/>
  <c r="M33" i="24"/>
  <c r="O26" i="29"/>
  <c r="O71" i="29"/>
  <c r="O84" i="29"/>
  <c r="O95" i="29"/>
  <c r="O92" i="29"/>
  <c r="O57" i="29"/>
  <c r="O36" i="29"/>
  <c r="O103" i="29"/>
  <c r="P57" i="29"/>
  <c r="L64" i="24" s="1"/>
  <c r="O41" i="29"/>
  <c r="O59" i="29"/>
  <c r="O53" i="29"/>
  <c r="S55" i="29"/>
  <c r="N62" i="24" s="1"/>
  <c r="V92" i="29"/>
  <c r="P99" i="24" s="1"/>
  <c r="O58" i="29"/>
  <c r="O90" i="29"/>
  <c r="S100" i="29"/>
  <c r="N107" i="24" s="1"/>
  <c r="O35" i="29"/>
  <c r="O99" i="29"/>
  <c r="O66" i="29"/>
  <c r="O94" i="29"/>
  <c r="V70" i="29"/>
  <c r="P77" i="24" s="1"/>
  <c r="S70" i="29"/>
  <c r="N77" i="24" s="1"/>
  <c r="P52" i="29"/>
  <c r="L59" i="24" s="1"/>
  <c r="O68" i="29"/>
  <c r="P84" i="29"/>
  <c r="L91" i="24" s="1"/>
  <c r="O100" i="29"/>
  <c r="O81" i="29"/>
  <c r="O97" i="29"/>
  <c r="O51" i="29"/>
  <c r="O38" i="29"/>
  <c r="O72" i="29"/>
  <c r="O48" i="29"/>
  <c r="O69" i="29"/>
  <c r="O60" i="29"/>
  <c r="S106" i="29"/>
  <c r="N113" i="24" s="1"/>
  <c r="O37" i="29"/>
  <c r="V100" i="29"/>
  <c r="P107" i="24" s="1"/>
  <c r="O34" i="29"/>
  <c r="P34" i="29"/>
  <c r="L41" i="24" s="1"/>
  <c r="O62" i="29"/>
  <c r="O98" i="29"/>
  <c r="V89" i="29"/>
  <c r="P96" i="24" s="1"/>
  <c r="S57" i="29"/>
  <c r="N64" i="24" s="1"/>
  <c r="O39" i="29"/>
  <c r="P55" i="29"/>
  <c r="L62" i="24" s="1"/>
  <c r="P71" i="29"/>
  <c r="L78" i="24" s="1"/>
  <c r="P103" i="29"/>
  <c r="L110" i="24" s="1"/>
  <c r="V108" i="29"/>
  <c r="P115" i="24" s="1"/>
  <c r="O42" i="29"/>
  <c r="O70" i="29"/>
  <c r="O106" i="29"/>
  <c r="S105" i="29"/>
  <c r="N112" i="24" s="1"/>
  <c r="O40" i="29"/>
  <c r="P56" i="29"/>
  <c r="L63" i="24" s="1"/>
  <c r="O88" i="29"/>
  <c r="O104" i="29"/>
  <c r="P85" i="29"/>
  <c r="L92" i="24" s="1"/>
  <c r="O101" i="29"/>
  <c r="O45" i="29"/>
  <c r="O61" i="29"/>
  <c r="O73" i="29"/>
  <c r="S102" i="29"/>
  <c r="N109" i="24" s="1"/>
  <c r="O74" i="29"/>
  <c r="O102" i="29"/>
  <c r="V109" i="29"/>
  <c r="P116" i="24" s="1"/>
  <c r="O43" i="29"/>
  <c r="O75" i="29"/>
  <c r="P107" i="29"/>
  <c r="L114" i="24" s="1"/>
  <c r="O46" i="29"/>
  <c r="O78" i="29"/>
  <c r="O44" i="29"/>
  <c r="P60" i="29"/>
  <c r="L67" i="24" s="1"/>
  <c r="O76" i="29"/>
  <c r="P108" i="29"/>
  <c r="L115" i="24" s="1"/>
  <c r="O89" i="29"/>
  <c r="P105" i="29"/>
  <c r="L112" i="24" s="1"/>
  <c r="V99" i="29"/>
  <c r="P106" i="24" s="1"/>
  <c r="O107" i="29"/>
  <c r="O91" i="29"/>
  <c r="O87" i="29"/>
  <c r="S99" i="29"/>
  <c r="N106" i="24" s="1"/>
  <c r="O50" i="29"/>
  <c r="K57" i="24" s="1"/>
  <c r="O82" i="29"/>
  <c r="O32" i="29"/>
  <c r="O47" i="29"/>
  <c r="O79" i="29"/>
  <c r="P95" i="29"/>
  <c r="L102" i="24" s="1"/>
  <c r="V88" i="29"/>
  <c r="P95" i="24" s="1"/>
  <c r="S103" i="29"/>
  <c r="N110" i="24" s="1"/>
  <c r="O54" i="29"/>
  <c r="O86" i="29"/>
  <c r="V34" i="29"/>
  <c r="P41" i="24" s="1"/>
  <c r="V50" i="29"/>
  <c r="P57" i="24" s="1"/>
  <c r="S50" i="29"/>
  <c r="N57" i="24" s="1"/>
  <c r="O33" i="29"/>
  <c r="O64" i="29"/>
  <c r="O80" i="29"/>
  <c r="P96" i="29"/>
  <c r="L103" i="24" s="1"/>
  <c r="O77" i="29"/>
  <c r="O93" i="29"/>
  <c r="P109" i="29"/>
  <c r="L116" i="24" s="1"/>
  <c r="O63" i="29"/>
  <c r="O67" i="29"/>
  <c r="O83" i="29"/>
  <c r="O30" i="29"/>
  <c r="O31" i="29"/>
  <c r="O65" i="29"/>
  <c r="K72" i="24" l="1"/>
  <c r="K84" i="24"/>
  <c r="K40" i="24"/>
  <c r="K93" i="24"/>
  <c r="K89" i="24"/>
  <c r="K96" i="24"/>
  <c r="K82" i="24"/>
  <c r="K81" i="24"/>
  <c r="K113" i="24"/>
  <c r="K79" i="24"/>
  <c r="K88" i="24"/>
  <c r="K73" i="24"/>
  <c r="K60" i="24"/>
  <c r="K102" i="24"/>
  <c r="K31" i="24"/>
  <c r="K9" i="24"/>
  <c r="K12" i="24"/>
  <c r="K14" i="24"/>
  <c r="K37" i="24"/>
  <c r="K87" i="24"/>
  <c r="K54" i="24"/>
  <c r="K83" i="24"/>
  <c r="K53" i="24"/>
  <c r="K80" i="24"/>
  <c r="K47" i="24"/>
  <c r="K49" i="24"/>
  <c r="K105" i="24"/>
  <c r="K76" i="24"/>
  <c r="K58" i="24"/>
  <c r="K42" i="24"/>
  <c r="K48" i="24"/>
  <c r="K64" i="24"/>
  <c r="K78" i="24"/>
  <c r="K17" i="24"/>
  <c r="K34" i="24"/>
  <c r="K36" i="24"/>
  <c r="K32" i="24"/>
  <c r="K62" i="24"/>
  <c r="K35" i="24"/>
  <c r="K63" i="24"/>
  <c r="K13" i="24"/>
  <c r="K59" i="24"/>
  <c r="K115" i="24"/>
  <c r="K74" i="24"/>
  <c r="K98" i="24"/>
  <c r="K51" i="24"/>
  <c r="K52" i="24"/>
  <c r="K95" i="24"/>
  <c r="K97" i="24"/>
  <c r="K110" i="24"/>
  <c r="K16" i="24"/>
  <c r="K90" i="24"/>
  <c r="K100" i="24"/>
  <c r="K71" i="24"/>
  <c r="K39" i="24"/>
  <c r="K94" i="24"/>
  <c r="K109" i="24"/>
  <c r="K68" i="24"/>
  <c r="K111" i="24"/>
  <c r="K46" i="24"/>
  <c r="K69" i="24"/>
  <c r="K44" i="24"/>
  <c r="K55" i="24"/>
  <c r="K104" i="24"/>
  <c r="K75" i="24"/>
  <c r="K101" i="24"/>
  <c r="K99" i="24"/>
  <c r="K33" i="24"/>
  <c r="K20" i="24"/>
  <c r="K21" i="24"/>
  <c r="K19" i="24"/>
  <c r="K26" i="24"/>
  <c r="K23" i="24"/>
  <c r="K29" i="24"/>
  <c r="K30" i="24"/>
  <c r="K24" i="24"/>
  <c r="K92" i="24"/>
  <c r="K56" i="24"/>
  <c r="K38" i="24"/>
  <c r="K70" i="24"/>
  <c r="K61" i="24"/>
  <c r="K86" i="24"/>
  <c r="K114" i="24"/>
  <c r="K85" i="24"/>
  <c r="K50" i="24"/>
  <c r="K108" i="24"/>
  <c r="K77" i="24"/>
  <c r="K41" i="24"/>
  <c r="K67" i="24"/>
  <c r="K45" i="24"/>
  <c r="K107" i="24"/>
  <c r="K106" i="24"/>
  <c r="K65" i="24"/>
  <c r="K66" i="24"/>
  <c r="K43" i="24"/>
  <c r="K91" i="24"/>
  <c r="K18" i="24"/>
  <c r="K22" i="24"/>
  <c r="K25" i="24"/>
  <c r="K28" i="24"/>
  <c r="K15" i="24"/>
  <c r="K10" i="24"/>
  <c r="K27" i="24"/>
  <c r="K11" i="24"/>
  <c r="K112" i="24"/>
  <c r="K103" i="24"/>
  <c r="M50" i="29"/>
  <c r="J57" i="24" s="1"/>
  <c r="H101" i="5"/>
  <c r="H112" i="5"/>
  <c r="H98" i="5"/>
  <c r="H103" i="5"/>
  <c r="H99" i="5"/>
  <c r="H102" i="5"/>
  <c r="H100" i="5"/>
  <c r="C32" i="6" l="1"/>
  <c r="C11" i="6"/>
  <c r="H90" i="5"/>
  <c r="H88" i="5"/>
  <c r="H113" i="5"/>
  <c r="H111" i="5"/>
  <c r="H108" i="5"/>
  <c r="H105" i="5"/>
  <c r="H104" i="5"/>
  <c r="H94" i="5"/>
  <c r="H96" i="5"/>
  <c r="H97" i="5"/>
  <c r="H107" i="5"/>
  <c r="H93" i="5"/>
  <c r="H106" i="5"/>
  <c r="H91" i="5"/>
  <c r="H109" i="5"/>
  <c r="H87" i="5"/>
  <c r="H110" i="5"/>
  <c r="H95" i="5"/>
  <c r="H92" i="5"/>
  <c r="H89" i="5"/>
  <c r="M391" i="32" l="1"/>
  <c r="I36" i="6"/>
  <c r="I22" i="6"/>
  <c r="I9" i="6"/>
  <c r="H37" i="1"/>
  <c r="H25" i="1"/>
  <c r="F27" i="6"/>
  <c r="C27" i="6" l="1"/>
  <c r="C24" i="6" s="1"/>
  <c r="M389" i="32"/>
  <c r="M367" i="32"/>
  <c r="M373" i="32"/>
  <c r="M385" i="32"/>
  <c r="M370" i="32"/>
  <c r="M384" i="32"/>
  <c r="M366" i="32"/>
  <c r="M388" i="32"/>
  <c r="M383" i="32"/>
  <c r="M386" i="32"/>
  <c r="M365" i="32"/>
  <c r="M379" i="32"/>
  <c r="M376" i="32"/>
  <c r="M369" i="32"/>
  <c r="M372" i="32"/>
  <c r="M371" i="32"/>
  <c r="M380" i="32"/>
  <c r="M374" i="32"/>
  <c r="M387" i="32"/>
  <c r="M375" i="32"/>
  <c r="M368" i="32"/>
  <c r="M377" i="32"/>
  <c r="M390" i="32"/>
  <c r="M378" i="32"/>
  <c r="M381" i="32"/>
  <c r="M382" i="32"/>
  <c r="I87" i="5" l="1"/>
  <c r="AA87" i="5" s="1"/>
  <c r="I91" i="5"/>
  <c r="M118" i="32"/>
  <c r="I85" i="5"/>
  <c r="AA85" i="5" s="1"/>
  <c r="I97" i="5"/>
  <c r="AA97" i="5" s="1"/>
  <c r="I112" i="5"/>
  <c r="I103" i="5"/>
  <c r="AA103" i="5" s="1"/>
  <c r="I4" i="5"/>
  <c r="F144" i="29" s="1"/>
  <c r="H144" i="29" s="1"/>
  <c r="M122" i="32"/>
  <c r="I95" i="5"/>
  <c r="AA95" i="5" s="1"/>
  <c r="I101" i="5"/>
  <c r="AA101" i="5" s="1"/>
  <c r="I111" i="5"/>
  <c r="AA111" i="5" s="1"/>
  <c r="I106" i="5"/>
  <c r="AA106" i="5" s="1"/>
  <c r="I110" i="5"/>
  <c r="AA110" i="5" s="1"/>
  <c r="I108" i="5"/>
  <c r="AA108" i="5" s="1"/>
  <c r="I93" i="5"/>
  <c r="AA93" i="5" s="1"/>
  <c r="I90" i="5"/>
  <c r="AA90" i="5" s="1"/>
  <c r="I99" i="5"/>
  <c r="AA99" i="5" s="1"/>
  <c r="I86" i="5"/>
  <c r="F464" i="29" s="1"/>
  <c r="H464" i="29" s="1"/>
  <c r="M119" i="32"/>
  <c r="I113" i="5"/>
  <c r="AA113" i="5" s="1"/>
  <c r="I104" i="5"/>
  <c r="I98" i="5"/>
  <c r="AA98" i="5" s="1"/>
  <c r="I89" i="5"/>
  <c r="AA89" i="5" s="1"/>
  <c r="I107" i="5"/>
  <c r="AA107" i="5" s="1"/>
  <c r="I92" i="5"/>
  <c r="AA92" i="5" s="1"/>
  <c r="I88" i="5"/>
  <c r="AA88" i="5" s="1"/>
  <c r="I105" i="5"/>
  <c r="AA105" i="5" s="1"/>
  <c r="I94" i="5"/>
  <c r="AA94" i="5" s="1"/>
  <c r="I102" i="5"/>
  <c r="AA102" i="5" s="1"/>
  <c r="I96" i="5"/>
  <c r="AA96" i="5" s="1"/>
  <c r="I109" i="5"/>
  <c r="AA109" i="5" s="1"/>
  <c r="I100" i="5"/>
  <c r="AA100" i="5" s="1"/>
  <c r="AA86" i="5" l="1"/>
  <c r="AA4" i="5"/>
  <c r="M21" i="5"/>
  <c r="N20" i="5"/>
  <c r="M20" i="5"/>
  <c r="AA104" i="5"/>
  <c r="N19" i="5"/>
  <c r="L20" i="5"/>
  <c r="L19" i="5"/>
  <c r="N21" i="5"/>
  <c r="AA112" i="5"/>
  <c r="AA91" i="5"/>
  <c r="M19" i="5"/>
  <c r="L21" i="5"/>
  <c r="O21" i="5" l="1"/>
  <c r="E13" i="34" s="1"/>
  <c r="O20" i="5"/>
  <c r="E12" i="34" s="1"/>
  <c r="O19" i="5"/>
  <c r="E11" i="34" l="1"/>
  <c r="I8" i="12"/>
  <c r="I7" i="12"/>
  <c r="I6" i="12"/>
  <c r="M64" i="32"/>
  <c r="M65" i="32"/>
  <c r="M66" i="32"/>
  <c r="Y104" i="5"/>
  <c r="AB104" i="5" s="1"/>
  <c r="Y101" i="5"/>
  <c r="AB101" i="5" s="1"/>
  <c r="Y108" i="5"/>
  <c r="AB108" i="5" s="1"/>
  <c r="Y90" i="5"/>
  <c r="AB90" i="5" s="1"/>
  <c r="Y103" i="5"/>
  <c r="AB103" i="5" s="1"/>
  <c r="Y92" i="5"/>
  <c r="AB92" i="5" s="1"/>
  <c r="Y89" i="5"/>
  <c r="AB89" i="5" s="1"/>
  <c r="Y88" i="5"/>
  <c r="AB88" i="5" s="1"/>
  <c r="Y95" i="5"/>
  <c r="AB95" i="5" s="1"/>
  <c r="Y97" i="5"/>
  <c r="AB97" i="5" s="1"/>
  <c r="Y98" i="5"/>
  <c r="AB98" i="5" s="1"/>
  <c r="Y102" i="5"/>
  <c r="AB102" i="5" s="1"/>
  <c r="Y99" i="5"/>
  <c r="AB99" i="5" s="1"/>
  <c r="Y112" i="5"/>
  <c r="AB112" i="5" s="1"/>
  <c r="Y110" i="5"/>
  <c r="AB110" i="5" s="1"/>
  <c r="Y107" i="5"/>
  <c r="AB107" i="5" s="1"/>
  <c r="Y93" i="5"/>
  <c r="AB93" i="5" s="1"/>
  <c r="Y91" i="5"/>
  <c r="AB91" i="5" s="1"/>
  <c r="Y94" i="5"/>
  <c r="AB94" i="5" s="1"/>
  <c r="Y87" i="5"/>
  <c r="AB87" i="5" s="1"/>
  <c r="Y111" i="5"/>
  <c r="AB111" i="5" s="1"/>
  <c r="Y106" i="5"/>
  <c r="AB106" i="5" s="1"/>
  <c r="Y109" i="5"/>
  <c r="AB109" i="5" s="1"/>
  <c r="Y113" i="5"/>
  <c r="AB113" i="5" s="1"/>
  <c r="O18" i="5"/>
  <c r="E10" i="34" s="1"/>
  <c r="Y96" i="5"/>
  <c r="AB96" i="5" s="1"/>
  <c r="Y105" i="5"/>
  <c r="AB105" i="5" s="1"/>
  <c r="Y100" i="5"/>
  <c r="AB100" i="5" s="1"/>
  <c r="S3" i="5" l="1"/>
  <c r="J7" i="12"/>
  <c r="M63" i="32"/>
  <c r="E70" i="16" l="1"/>
  <c r="E58" i="16"/>
  <c r="C27" i="16"/>
  <c r="E60" i="16"/>
  <c r="C62" i="16"/>
  <c r="E69" i="16"/>
  <c r="E67" i="16"/>
  <c r="E17" i="16"/>
  <c r="E9" i="16"/>
  <c r="C12" i="16"/>
  <c r="C36" i="16"/>
  <c r="E8" i="16"/>
  <c r="E30" i="16"/>
  <c r="E42" i="16"/>
  <c r="E32" i="16"/>
  <c r="E68" i="16"/>
  <c r="E34" i="16"/>
  <c r="E53" i="16"/>
  <c r="D26" i="16"/>
  <c r="E10" i="16"/>
  <c r="D35" i="16"/>
  <c r="E55" i="16"/>
  <c r="C5" i="16"/>
  <c r="D46" i="16"/>
  <c r="E15" i="16"/>
  <c r="E24" i="16"/>
  <c r="D61" i="16"/>
  <c r="E54" i="16"/>
  <c r="E21" i="16"/>
  <c r="E19" i="16"/>
  <c r="E23" i="16"/>
  <c r="E59" i="16"/>
  <c r="E73" i="16"/>
  <c r="E51" i="16"/>
  <c r="C47" i="16"/>
  <c r="E45" i="16"/>
  <c r="E74" i="16"/>
  <c r="E57" i="16"/>
  <c r="D11" i="16"/>
  <c r="E20" i="16"/>
  <c r="E44" i="16"/>
  <c r="E18" i="16"/>
  <c r="E50" i="16"/>
  <c r="E25" i="16"/>
  <c r="E41" i="16"/>
  <c r="E6" i="16"/>
  <c r="E7" i="16"/>
  <c r="E72" i="16"/>
  <c r="C3" i="16"/>
  <c r="P91" i="29" l="1"/>
  <c r="L98" i="24" s="1"/>
  <c r="H193" i="5"/>
  <c r="H162" i="5"/>
  <c r="H51" i="5"/>
  <c r="H318" i="5"/>
  <c r="H313" i="5"/>
  <c r="H133" i="5"/>
  <c r="H140" i="5"/>
  <c r="H189" i="5"/>
  <c r="H54" i="5"/>
  <c r="H230" i="5"/>
  <c r="H130" i="5"/>
  <c r="H36" i="5"/>
  <c r="H120" i="5"/>
  <c r="H48" i="5"/>
  <c r="H6" i="5"/>
  <c r="H314" i="5"/>
  <c r="H80" i="5"/>
  <c r="H213" i="5"/>
  <c r="H284" i="5"/>
  <c r="H127" i="5"/>
  <c r="H175" i="5"/>
  <c r="H302" i="5"/>
  <c r="H177" i="5"/>
  <c r="H317" i="5"/>
  <c r="H163" i="5"/>
  <c r="H17" i="5"/>
  <c r="H225" i="5"/>
  <c r="H33" i="5"/>
  <c r="H141" i="5"/>
  <c r="H232" i="5"/>
  <c r="H184" i="5"/>
  <c r="H15" i="5"/>
  <c r="H13" i="5"/>
  <c r="H139" i="5"/>
  <c r="H148" i="5"/>
  <c r="H215" i="5"/>
  <c r="H321" i="5"/>
  <c r="H186" i="5"/>
  <c r="H265" i="5"/>
  <c r="H248" i="5"/>
  <c r="H188" i="5"/>
  <c r="H20" i="5"/>
  <c r="H307" i="5"/>
  <c r="H3" i="5"/>
  <c r="H228" i="5"/>
  <c r="H255" i="5"/>
  <c r="H233" i="5"/>
  <c r="H27" i="5"/>
  <c r="H203" i="5"/>
  <c r="H299" i="5"/>
  <c r="H180" i="5"/>
  <c r="H75" i="5"/>
  <c r="H114" i="5"/>
  <c r="H246" i="5"/>
  <c r="H266" i="5"/>
  <c r="H78" i="5"/>
  <c r="H161" i="5"/>
  <c r="H274" i="5"/>
  <c r="H258" i="5"/>
  <c r="H236" i="5"/>
  <c r="H26" i="5"/>
  <c r="H281" i="5"/>
  <c r="H167" i="5"/>
  <c r="H56" i="5"/>
  <c r="H219" i="5"/>
  <c r="H146" i="5"/>
  <c r="H123" i="5"/>
  <c r="H46" i="5"/>
  <c r="H304" i="5"/>
  <c r="H309" i="5"/>
  <c r="H306" i="5"/>
  <c r="H176" i="5"/>
  <c r="H30" i="5"/>
  <c r="H62" i="5"/>
  <c r="H83" i="5"/>
  <c r="H312" i="5"/>
  <c r="H118" i="5"/>
  <c r="H308" i="5"/>
  <c r="H231" i="5"/>
  <c r="H206" i="5"/>
  <c r="H45" i="5"/>
  <c r="H136" i="5"/>
  <c r="H295" i="5"/>
  <c r="H273" i="5"/>
  <c r="H57" i="5"/>
  <c r="H156" i="5"/>
  <c r="H272" i="5"/>
  <c r="H257" i="5"/>
  <c r="H22" i="5"/>
  <c r="H197" i="5"/>
  <c r="H179" i="5"/>
  <c r="H70" i="5"/>
  <c r="H142" i="5"/>
  <c r="H211" i="5"/>
  <c r="H159" i="5"/>
  <c r="H12" i="5"/>
  <c r="H205" i="5"/>
  <c r="H223" i="5"/>
  <c r="H35" i="5"/>
  <c r="H37" i="5"/>
  <c r="H289" i="5"/>
  <c r="H254" i="5"/>
  <c r="H168" i="5"/>
  <c r="H277" i="5"/>
  <c r="H227" i="5"/>
  <c r="H116" i="5"/>
  <c r="H222" i="5"/>
  <c r="H325" i="5"/>
  <c r="H292" i="5"/>
  <c r="H153" i="5"/>
  <c r="H195" i="5"/>
  <c r="H196" i="5"/>
  <c r="H32" i="5"/>
  <c r="H55" i="5"/>
  <c r="H245" i="5"/>
  <c r="H253" i="5"/>
  <c r="H241" i="5"/>
  <c r="H216" i="5"/>
  <c r="H150" i="5"/>
  <c r="H77" i="5"/>
  <c r="H249" i="5"/>
  <c r="H155" i="5"/>
  <c r="H221" i="5"/>
  <c r="H275" i="5"/>
  <c r="H260" i="5"/>
  <c r="H218" i="5"/>
  <c r="H28" i="5"/>
  <c r="H185" i="5"/>
  <c r="H287" i="5"/>
  <c r="H171" i="5"/>
  <c r="H202" i="5"/>
  <c r="H138" i="5"/>
  <c r="H154" i="5"/>
  <c r="H279" i="5"/>
  <c r="H316" i="5"/>
  <c r="H271" i="5"/>
  <c r="H300" i="5"/>
  <c r="H117" i="5"/>
  <c r="H68" i="5"/>
  <c r="H41" i="5"/>
  <c r="H276" i="5"/>
  <c r="H134" i="5"/>
  <c r="H322" i="5"/>
  <c r="H72" i="5"/>
  <c r="H24" i="5"/>
  <c r="H42" i="5"/>
  <c r="H121" i="5"/>
  <c r="H31" i="5"/>
  <c r="H65" i="5"/>
  <c r="H192" i="5"/>
  <c r="H191" i="5"/>
  <c r="H247" i="5"/>
  <c r="H261" i="5"/>
  <c r="H71" i="5"/>
  <c r="H264" i="5"/>
  <c r="H144" i="5"/>
  <c r="H126" i="5"/>
  <c r="H326" i="5"/>
  <c r="H137" i="5"/>
  <c r="H194" i="5"/>
  <c r="H8" i="5"/>
  <c r="H59" i="5"/>
  <c r="H174" i="5"/>
  <c r="H229" i="5"/>
  <c r="H207" i="5"/>
  <c r="H234" i="5"/>
  <c r="H259" i="5"/>
  <c r="H224" i="5"/>
  <c r="H294" i="5"/>
  <c r="H208" i="5"/>
  <c r="H166" i="5"/>
  <c r="H50" i="5"/>
  <c r="H262" i="5"/>
  <c r="H217" i="5"/>
  <c r="H74" i="5"/>
  <c r="H53" i="5"/>
  <c r="H291" i="5"/>
  <c r="H323" i="5"/>
  <c r="H263" i="5"/>
  <c r="H198" i="5"/>
  <c r="H310" i="5"/>
  <c r="H149" i="5"/>
  <c r="H278" i="5"/>
  <c r="H315" i="5"/>
  <c r="H63" i="5"/>
  <c r="H285" i="5"/>
  <c r="H34" i="5"/>
  <c r="H243" i="5"/>
  <c r="H10" i="5"/>
  <c r="H160" i="5"/>
  <c r="H298" i="5"/>
  <c r="H25" i="5"/>
  <c r="H44" i="5"/>
  <c r="H131" i="5"/>
  <c r="H235" i="5"/>
  <c r="H69" i="5"/>
  <c r="H128" i="5"/>
  <c r="H240" i="5"/>
  <c r="H124" i="5"/>
  <c r="H251" i="5"/>
  <c r="H49" i="5"/>
  <c r="H151" i="5"/>
  <c r="H201" i="5"/>
  <c r="H244" i="5"/>
  <c r="H256" i="5"/>
  <c r="H129" i="5"/>
  <c r="H43" i="5"/>
  <c r="H320" i="5"/>
  <c r="H296" i="5"/>
  <c r="H220" i="5"/>
  <c r="H67" i="5"/>
  <c r="H183" i="5"/>
  <c r="H38" i="5"/>
  <c r="H199" i="5"/>
  <c r="H125" i="5"/>
  <c r="H239" i="5"/>
  <c r="H187" i="5"/>
  <c r="H135" i="5"/>
  <c r="H311" i="5"/>
  <c r="H280" i="5"/>
  <c r="H29" i="5"/>
  <c r="H9" i="5"/>
  <c r="H147" i="5"/>
  <c r="H122" i="5"/>
  <c r="H242" i="5"/>
  <c r="H324" i="5"/>
  <c r="H165" i="5"/>
  <c r="H158" i="5"/>
  <c r="H79" i="5"/>
  <c r="H66" i="5"/>
  <c r="H14" i="5"/>
  <c r="H47" i="5"/>
  <c r="H178" i="5"/>
  <c r="H76" i="5"/>
  <c r="H21" i="5"/>
  <c r="H226" i="5"/>
  <c r="H209" i="5"/>
  <c r="H283" i="5"/>
  <c r="H269" i="5"/>
  <c r="H238" i="5"/>
  <c r="H282" i="5"/>
  <c r="H19" i="5"/>
  <c r="H84" i="5"/>
  <c r="H145" i="5"/>
  <c r="H64" i="5"/>
  <c r="H250" i="5"/>
  <c r="H286" i="5"/>
  <c r="H5" i="5"/>
  <c r="H23" i="5"/>
  <c r="H173" i="5"/>
  <c r="H182" i="5"/>
  <c r="H200" i="5"/>
  <c r="H237" i="5"/>
  <c r="H143" i="5"/>
  <c r="H297" i="5"/>
  <c r="H16" i="5"/>
  <c r="H81" i="5"/>
  <c r="H319" i="5"/>
  <c r="H18" i="5"/>
  <c r="H288" i="5"/>
  <c r="H301" i="5"/>
  <c r="H293" i="5"/>
  <c r="H164" i="5"/>
  <c r="H290" i="5"/>
  <c r="H169" i="5"/>
  <c r="H40" i="5"/>
  <c r="H214" i="5"/>
  <c r="H73" i="5"/>
  <c r="H270" i="5"/>
  <c r="H58" i="5"/>
  <c r="H115" i="5"/>
  <c r="H132" i="5"/>
  <c r="H82" i="5"/>
  <c r="H204" i="5"/>
  <c r="H268" i="5"/>
  <c r="H52" i="5"/>
  <c r="H11" i="5"/>
  <c r="H303" i="5"/>
  <c r="H267" i="5"/>
  <c r="H252" i="5"/>
  <c r="H172" i="5"/>
  <c r="H305" i="5"/>
  <c r="H61" i="5"/>
  <c r="H212" i="5"/>
  <c r="H210" i="5"/>
  <c r="H2" i="5"/>
  <c r="H39" i="5"/>
  <c r="H119" i="5"/>
  <c r="H190" i="5"/>
  <c r="H157" i="5"/>
  <c r="H152" i="5"/>
  <c r="H170" i="5"/>
  <c r="H7" i="5"/>
  <c r="H60" i="5"/>
  <c r="I265" i="5" l="1"/>
  <c r="M142" i="32"/>
  <c r="I301" i="5"/>
  <c r="M267" i="32"/>
  <c r="M195" i="32"/>
  <c r="I257" i="5"/>
  <c r="AA257" i="5" s="1"/>
  <c r="I166" i="5"/>
  <c r="M349" i="32"/>
  <c r="M253" i="32"/>
  <c r="I132" i="5"/>
  <c r="M203" i="32"/>
  <c r="I182" i="5"/>
  <c r="M102" i="32"/>
  <c r="I69" i="5"/>
  <c r="M171" i="32"/>
  <c r="I294" i="5"/>
  <c r="M347" i="32"/>
  <c r="I164" i="5"/>
  <c r="M101" i="32"/>
  <c r="I68" i="5"/>
  <c r="I254" i="5"/>
  <c r="AA254" i="5" s="1"/>
  <c r="M192" i="32"/>
  <c r="I21" i="5"/>
  <c r="M139" i="32"/>
  <c r="I56" i="5"/>
  <c r="M89" i="32"/>
  <c r="I54" i="5"/>
  <c r="AA54" i="5" s="1"/>
  <c r="M323" i="32"/>
  <c r="M181" i="32"/>
  <c r="I243" i="5"/>
  <c r="M74" i="32"/>
  <c r="I221" i="5"/>
  <c r="I179" i="5"/>
  <c r="M362" i="32"/>
  <c r="M220" i="32"/>
  <c r="I199" i="5"/>
  <c r="M298" i="32"/>
  <c r="I29" i="5"/>
  <c r="I169" i="5"/>
  <c r="M352" i="32"/>
  <c r="I256" i="5"/>
  <c r="AA256" i="5" s="1"/>
  <c r="M194" i="32"/>
  <c r="I229" i="5"/>
  <c r="M82" i="32"/>
  <c r="M169" i="32"/>
  <c r="I292" i="5"/>
  <c r="AA292" i="5" s="1"/>
  <c r="I63" i="5"/>
  <c r="M96" i="32"/>
  <c r="M321" i="32"/>
  <c r="I52" i="5"/>
  <c r="AA52" i="5" s="1"/>
  <c r="I139" i="5"/>
  <c r="M260" i="32"/>
  <c r="M212" i="32"/>
  <c r="I191" i="5"/>
  <c r="AA191" i="5" s="1"/>
  <c r="M300" i="32"/>
  <c r="I31" i="5"/>
  <c r="I152" i="5"/>
  <c r="M335" i="32"/>
  <c r="I270" i="5"/>
  <c r="M147" i="32"/>
  <c r="M188" i="32"/>
  <c r="I250" i="5"/>
  <c r="M234" i="32"/>
  <c r="I213" i="5"/>
  <c r="AA213" i="5" s="1"/>
  <c r="M99" i="32"/>
  <c r="I66" i="5"/>
  <c r="I285" i="5"/>
  <c r="M162" i="32"/>
  <c r="M156" i="32"/>
  <c r="I279" i="5"/>
  <c r="M322" i="32"/>
  <c r="I53" i="5"/>
  <c r="M69" i="32"/>
  <c r="I216" i="5"/>
  <c r="M196" i="32"/>
  <c r="I258" i="5"/>
  <c r="I318" i="5"/>
  <c r="M284" i="32"/>
  <c r="M100" i="32"/>
  <c r="I67" i="5"/>
  <c r="M224" i="32"/>
  <c r="I203" i="5"/>
  <c r="I252" i="5"/>
  <c r="AA252" i="5" s="1"/>
  <c r="M190" i="32"/>
  <c r="M358" i="32"/>
  <c r="I175" i="5"/>
  <c r="M273" i="32"/>
  <c r="I307" i="5"/>
  <c r="I297" i="5"/>
  <c r="M263" i="32"/>
  <c r="M189" i="32"/>
  <c r="I251" i="5"/>
  <c r="AA251" i="5" s="1"/>
  <c r="I137" i="5"/>
  <c r="AA137" i="5" s="1"/>
  <c r="M258" i="32"/>
  <c r="I295" i="5"/>
  <c r="AA295" i="5" s="1"/>
  <c r="M172" i="32"/>
  <c r="M288" i="32"/>
  <c r="I322" i="5"/>
  <c r="AA322" i="5" s="1"/>
  <c r="M297" i="32"/>
  <c r="I28" i="5"/>
  <c r="I141" i="5"/>
  <c r="AA141" i="5" s="1"/>
  <c r="M262" i="32"/>
  <c r="M202" i="32"/>
  <c r="I264" i="5"/>
  <c r="AA264" i="5" s="1"/>
  <c r="I120" i="5"/>
  <c r="M241" i="32"/>
  <c r="I190" i="5"/>
  <c r="M211" i="32"/>
  <c r="M239" i="32"/>
  <c r="I118" i="5"/>
  <c r="M329" i="32"/>
  <c r="I146" i="5"/>
  <c r="AA146" i="5" s="1"/>
  <c r="M107" i="32"/>
  <c r="I74" i="5"/>
  <c r="M180" i="32"/>
  <c r="I242" i="5"/>
  <c r="I18" i="5"/>
  <c r="AA18" i="5" s="1"/>
  <c r="M136" i="32"/>
  <c r="I61" i="5"/>
  <c r="M94" i="32"/>
  <c r="I224" i="5"/>
  <c r="M77" i="32"/>
  <c r="M301" i="32"/>
  <c r="I32" i="5"/>
  <c r="AA32" i="5" s="1"/>
  <c r="M184" i="32"/>
  <c r="I246" i="5"/>
  <c r="I296" i="5"/>
  <c r="AA296" i="5" s="1"/>
  <c r="M173" i="32"/>
  <c r="M207" i="32"/>
  <c r="I186" i="5"/>
  <c r="I269" i="5"/>
  <c r="M146" i="32"/>
  <c r="M269" i="32"/>
  <c r="I303" i="5"/>
  <c r="M346" i="32"/>
  <c r="I163" i="5"/>
  <c r="I115" i="5"/>
  <c r="M236" i="32"/>
  <c r="M356" i="32"/>
  <c r="I173" i="5"/>
  <c r="M88" i="32"/>
  <c r="I235" i="5"/>
  <c r="I226" i="5"/>
  <c r="M79" i="32"/>
  <c r="I125" i="5"/>
  <c r="M246" i="32"/>
  <c r="M238" i="32"/>
  <c r="I117" i="5"/>
  <c r="M319" i="32"/>
  <c r="I50" i="5"/>
  <c r="AA50" i="5" s="1"/>
  <c r="M109" i="32"/>
  <c r="I76" i="5"/>
  <c r="I167" i="5"/>
  <c r="M350" i="32"/>
  <c r="I189" i="5"/>
  <c r="M210" i="32"/>
  <c r="M308" i="32"/>
  <c r="I39" i="5"/>
  <c r="M338" i="32"/>
  <c r="I155" i="5"/>
  <c r="I278" i="5"/>
  <c r="M155" i="32"/>
  <c r="I217" i="5"/>
  <c r="M70" i="32"/>
  <c r="M157" i="32"/>
  <c r="I280" i="5"/>
  <c r="M299" i="32"/>
  <c r="I30" i="5"/>
  <c r="M182" i="32"/>
  <c r="I244" i="5"/>
  <c r="I174" i="5"/>
  <c r="M357" i="32"/>
  <c r="M291" i="32"/>
  <c r="I325" i="5"/>
  <c r="AA325" i="5" s="1"/>
  <c r="I275" i="5"/>
  <c r="M152" i="32"/>
  <c r="M272" i="32"/>
  <c r="I306" i="5"/>
  <c r="I13" i="5"/>
  <c r="M131" i="32"/>
  <c r="I263" i="5"/>
  <c r="AA263" i="5" s="1"/>
  <c r="M201" i="32"/>
  <c r="M242" i="32"/>
  <c r="I121" i="5"/>
  <c r="I37" i="5"/>
  <c r="AA37" i="5" s="1"/>
  <c r="M306" i="32"/>
  <c r="I231" i="5"/>
  <c r="M84" i="32"/>
  <c r="I64" i="5"/>
  <c r="M97" i="32"/>
  <c r="I80" i="5"/>
  <c r="M113" i="32"/>
  <c r="I79" i="5"/>
  <c r="M112" i="32"/>
  <c r="M268" i="32"/>
  <c r="I302" i="5"/>
  <c r="M337" i="32"/>
  <c r="I154" i="5"/>
  <c r="AA154" i="5" s="1"/>
  <c r="M265" i="32"/>
  <c r="I299" i="5"/>
  <c r="I241" i="5"/>
  <c r="M179" i="32"/>
  <c r="M151" i="32"/>
  <c r="I274" i="5"/>
  <c r="M320" i="32"/>
  <c r="I51" i="5"/>
  <c r="AA51" i="5" s="1"/>
  <c r="I170" i="5"/>
  <c r="M353" i="32"/>
  <c r="M231" i="32"/>
  <c r="I210" i="5"/>
  <c r="I22" i="5"/>
  <c r="AA22" i="5" s="1"/>
  <c r="M140" i="32"/>
  <c r="M193" i="32"/>
  <c r="I255" i="5"/>
  <c r="AA255" i="5" s="1"/>
  <c r="I20" i="5"/>
  <c r="AA20" i="5" s="1"/>
  <c r="M138" i="32"/>
  <c r="I143" i="5"/>
  <c r="M326" i="32"/>
  <c r="I124" i="5"/>
  <c r="M245" i="32"/>
  <c r="I326" i="5"/>
  <c r="AA326" i="5" s="1"/>
  <c r="M292" i="32"/>
  <c r="M115" i="32"/>
  <c r="I82" i="5"/>
  <c r="AA82" i="5" s="1"/>
  <c r="I134" i="5"/>
  <c r="M255" i="32"/>
  <c r="M185" i="32"/>
  <c r="I247" i="5"/>
  <c r="I33" i="5"/>
  <c r="M302" i="32"/>
  <c r="I277" i="5"/>
  <c r="M154" i="32"/>
  <c r="I36" i="5"/>
  <c r="M9" i="5" s="1"/>
  <c r="M305" i="32"/>
  <c r="I223" i="5"/>
  <c r="M76" i="32"/>
  <c r="M168" i="32"/>
  <c r="I291" i="5"/>
  <c r="AA291" i="5" s="1"/>
  <c r="I65" i="5"/>
  <c r="M98" i="32"/>
  <c r="I298" i="5"/>
  <c r="M264" i="32"/>
  <c r="I122" i="5"/>
  <c r="M243" i="32"/>
  <c r="M244" i="32"/>
  <c r="I123" i="5"/>
  <c r="M281" i="32"/>
  <c r="I315" i="5"/>
  <c r="M197" i="32"/>
  <c r="I259" i="5"/>
  <c r="AA259" i="5" s="1"/>
  <c r="I196" i="5"/>
  <c r="M217" i="32"/>
  <c r="I114" i="5"/>
  <c r="M235" i="32"/>
  <c r="I320" i="5"/>
  <c r="M286" i="32"/>
  <c r="M287" i="32"/>
  <c r="I321" i="5"/>
  <c r="AA321" i="5" s="1"/>
  <c r="M270" i="32"/>
  <c r="I304" i="5"/>
  <c r="I272" i="5"/>
  <c r="M149" i="32"/>
  <c r="M339" i="32"/>
  <c r="I156" i="5"/>
  <c r="AA156" i="5" s="1"/>
  <c r="I45" i="5"/>
  <c r="M314" i="32"/>
  <c r="M141" i="32"/>
  <c r="I23" i="5"/>
  <c r="AA23" i="5" s="1"/>
  <c r="M252" i="32"/>
  <c r="I131" i="5"/>
  <c r="M161" i="32"/>
  <c r="I284" i="5"/>
  <c r="M206" i="32"/>
  <c r="I185" i="5"/>
  <c r="I300" i="5"/>
  <c r="M266" i="32"/>
  <c r="M232" i="32"/>
  <c r="I211" i="5"/>
  <c r="M361" i="32"/>
  <c r="I178" i="5"/>
  <c r="AA178" i="5" s="1"/>
  <c r="I281" i="5"/>
  <c r="M158" i="32"/>
  <c r="M261" i="32"/>
  <c r="I140" i="5"/>
  <c r="AA140" i="5" s="1"/>
  <c r="I12" i="5"/>
  <c r="M130" i="32"/>
  <c r="M187" i="32"/>
  <c r="I249" i="5"/>
  <c r="I172" i="5"/>
  <c r="M355" i="32"/>
  <c r="I268" i="5"/>
  <c r="M145" i="32"/>
  <c r="M277" i="32"/>
  <c r="I311" i="5"/>
  <c r="M167" i="32"/>
  <c r="I290" i="5"/>
  <c r="I201" i="5"/>
  <c r="M222" i="32"/>
  <c r="M92" i="32"/>
  <c r="I59" i="5"/>
  <c r="I222" i="5"/>
  <c r="AA222" i="5" s="1"/>
  <c r="M75" i="32"/>
  <c r="I81" i="5"/>
  <c r="M114" i="32"/>
  <c r="I238" i="5"/>
  <c r="M176" i="32"/>
  <c r="M133" i="32"/>
  <c r="I15" i="5"/>
  <c r="I183" i="5"/>
  <c r="M204" i="32"/>
  <c r="M311" i="32"/>
  <c r="I42" i="5"/>
  <c r="I10" i="5"/>
  <c r="M128" i="32"/>
  <c r="M106" i="32"/>
  <c r="I73" i="5"/>
  <c r="I145" i="5"/>
  <c r="AA145" i="5" s="1"/>
  <c r="M328" i="32"/>
  <c r="I314" i="5"/>
  <c r="M280" i="32"/>
  <c r="I158" i="5"/>
  <c r="M341" i="32"/>
  <c r="M86" i="32"/>
  <c r="I233" i="5"/>
  <c r="M259" i="32"/>
  <c r="I138" i="5"/>
  <c r="AA138" i="5" s="1"/>
  <c r="M342" i="32"/>
  <c r="I159" i="5"/>
  <c r="AA159" i="5" s="1"/>
  <c r="M191" i="32"/>
  <c r="I253" i="5"/>
  <c r="M344" i="32"/>
  <c r="I161" i="5"/>
  <c r="AA161" i="5" s="1"/>
  <c r="M345" i="32"/>
  <c r="I162" i="5"/>
  <c r="M121" i="32"/>
  <c r="I3" i="5"/>
  <c r="I293" i="5"/>
  <c r="AA293" i="5" s="1"/>
  <c r="M170" i="32"/>
  <c r="I267" i="5"/>
  <c r="M144" i="32"/>
  <c r="M343" i="32"/>
  <c r="I160" i="5"/>
  <c r="M209" i="32"/>
  <c r="I188" i="5"/>
  <c r="I237" i="5"/>
  <c r="M175" i="32"/>
  <c r="I240" i="5"/>
  <c r="M178" i="32"/>
  <c r="M247" i="32"/>
  <c r="I126" i="5"/>
  <c r="I323" i="5"/>
  <c r="AA323" i="5" s="1"/>
  <c r="M289" i="32"/>
  <c r="I276" i="5"/>
  <c r="M153" i="32"/>
  <c r="I7" i="5"/>
  <c r="M125" i="32"/>
  <c r="I225" i="5"/>
  <c r="M78" i="32"/>
  <c r="M177" i="32"/>
  <c r="I239" i="5"/>
  <c r="M251" i="32"/>
  <c r="I130" i="5"/>
  <c r="I119" i="5"/>
  <c r="M240" i="32"/>
  <c r="I312" i="5"/>
  <c r="M278" i="32"/>
  <c r="I208" i="5"/>
  <c r="AA208" i="5" s="1"/>
  <c r="M229" i="32"/>
  <c r="I62" i="5"/>
  <c r="M95" i="32"/>
  <c r="M330" i="32"/>
  <c r="I147" i="5"/>
  <c r="AA147" i="5" s="1"/>
  <c r="I260" i="5"/>
  <c r="AA260" i="5" s="1"/>
  <c r="M198" i="32"/>
  <c r="M103" i="32"/>
  <c r="I70" i="5"/>
  <c r="M87" i="32"/>
  <c r="I234" i="5"/>
  <c r="AA234" i="5" s="1"/>
  <c r="M216" i="32"/>
  <c r="I195" i="5"/>
  <c r="M108" i="32"/>
  <c r="I75" i="5"/>
  <c r="M312" i="32"/>
  <c r="I43" i="5"/>
  <c r="M68" i="32"/>
  <c r="I215" i="5"/>
  <c r="M307" i="32"/>
  <c r="I38" i="5"/>
  <c r="M129" i="32"/>
  <c r="I11" i="5"/>
  <c r="M116" i="32"/>
  <c r="I83" i="5"/>
  <c r="AA83" i="5" s="1"/>
  <c r="M91" i="32"/>
  <c r="I58" i="5"/>
  <c r="I5" i="5"/>
  <c r="M123" i="32"/>
  <c r="M313" i="32"/>
  <c r="I44" i="5"/>
  <c r="M225" i="32"/>
  <c r="I204" i="5"/>
  <c r="I177" i="5"/>
  <c r="AA177" i="5" s="1"/>
  <c r="M360" i="32"/>
  <c r="I271" i="5"/>
  <c r="M148" i="32"/>
  <c r="M230" i="32"/>
  <c r="I209" i="5"/>
  <c r="M316" i="32"/>
  <c r="I47" i="5"/>
  <c r="I26" i="5"/>
  <c r="M295" i="32"/>
  <c r="I133" i="5"/>
  <c r="M254" i="32"/>
  <c r="M303" i="32"/>
  <c r="I34" i="5"/>
  <c r="I77" i="5"/>
  <c r="M110" i="32"/>
  <c r="I197" i="5"/>
  <c r="M218" i="32"/>
  <c r="M233" i="32"/>
  <c r="I212" i="5"/>
  <c r="AA212" i="5" s="1"/>
  <c r="I135" i="5"/>
  <c r="M256" i="32"/>
  <c r="M359" i="32"/>
  <c r="I176" i="5"/>
  <c r="AA176" i="5" s="1"/>
  <c r="M334" i="32"/>
  <c r="I151" i="5"/>
  <c r="AA151" i="5" s="1"/>
  <c r="M126" i="32"/>
  <c r="I8" i="5"/>
  <c r="M237" i="32"/>
  <c r="I116" i="5"/>
  <c r="M72" i="32"/>
  <c r="I219" i="5"/>
  <c r="AA219" i="5" s="1"/>
  <c r="I261" i="5"/>
  <c r="AA261" i="5" s="1"/>
  <c r="M199" i="32"/>
  <c r="M205" i="32"/>
  <c r="I184" i="5"/>
  <c r="I127" i="5"/>
  <c r="M248" i="32"/>
  <c r="I24" i="5"/>
  <c r="M293" i="32"/>
  <c r="M304" i="32"/>
  <c r="I35" i="5"/>
  <c r="N8" i="5" s="1"/>
  <c r="I308" i="5"/>
  <c r="M274" i="32"/>
  <c r="M117" i="32"/>
  <c r="I84" i="5"/>
  <c r="M124" i="32"/>
  <c r="I6" i="5"/>
  <c r="M348" i="32"/>
  <c r="I165" i="5"/>
  <c r="I288" i="5"/>
  <c r="M165" i="32"/>
  <c r="I202" i="5"/>
  <c r="M223" i="32"/>
  <c r="I282" i="5"/>
  <c r="M159" i="32"/>
  <c r="M183" i="32"/>
  <c r="I245" i="5"/>
  <c r="I78" i="5"/>
  <c r="M111" i="32"/>
  <c r="I193" i="5"/>
  <c r="AA193" i="5" s="1"/>
  <c r="M214" i="32"/>
  <c r="I289" i="5"/>
  <c r="M166" i="32"/>
  <c r="M275" i="32"/>
  <c r="I309" i="5"/>
  <c r="I310" i="5"/>
  <c r="M276" i="32"/>
  <c r="I192" i="5"/>
  <c r="AA192" i="5" s="1"/>
  <c r="M213" i="32"/>
  <c r="I248" i="5"/>
  <c r="AA248" i="5" s="1"/>
  <c r="M186" i="32"/>
  <c r="I200" i="5"/>
  <c r="M221" i="32"/>
  <c r="I128" i="5"/>
  <c r="M249" i="32"/>
  <c r="M327" i="32"/>
  <c r="I144" i="5"/>
  <c r="M257" i="32"/>
  <c r="I136" i="5"/>
  <c r="AA136" i="5" s="1"/>
  <c r="I41" i="5"/>
  <c r="M310" i="32"/>
  <c r="I262" i="5"/>
  <c r="M200" i="32"/>
  <c r="I17" i="5"/>
  <c r="M135" i="32"/>
  <c r="I287" i="5"/>
  <c r="M164" i="32"/>
  <c r="I230" i="5"/>
  <c r="M83" i="32"/>
  <c r="M226" i="32"/>
  <c r="I205" i="5"/>
  <c r="M309" i="32"/>
  <c r="I40" i="5"/>
  <c r="M73" i="32"/>
  <c r="I220" i="5"/>
  <c r="I168" i="5"/>
  <c r="M351" i="32"/>
  <c r="M127" i="32"/>
  <c r="I9" i="5"/>
  <c r="M285" i="32"/>
  <c r="I319" i="5"/>
  <c r="AA319" i="5" s="1"/>
  <c r="M271" i="32"/>
  <c r="I305" i="5"/>
  <c r="I207" i="5"/>
  <c r="M228" i="32"/>
  <c r="I153" i="5"/>
  <c r="AA153" i="5" s="1"/>
  <c r="M336" i="32"/>
  <c r="M363" i="32"/>
  <c r="I180" i="5"/>
  <c r="AA180" i="5" s="1"/>
  <c r="M250" i="32"/>
  <c r="I129" i="5"/>
  <c r="M331" i="32"/>
  <c r="I148" i="5"/>
  <c r="M71" i="32"/>
  <c r="I218" i="5"/>
  <c r="M219" i="32"/>
  <c r="I198" i="5"/>
  <c r="I60" i="5"/>
  <c r="M93" i="32"/>
  <c r="I206" i="5"/>
  <c r="M227" i="32"/>
  <c r="M163" i="32"/>
  <c r="I286" i="5"/>
  <c r="I25" i="5"/>
  <c r="M294" i="32"/>
  <c r="I142" i="5"/>
  <c r="M325" i="32"/>
  <c r="I57" i="5"/>
  <c r="M90" i="32"/>
  <c r="M282" i="32"/>
  <c r="I316" i="5"/>
  <c r="M81" i="32"/>
  <c r="I228" i="5"/>
  <c r="M132" i="32"/>
  <c r="I14" i="5"/>
  <c r="M174" i="32"/>
  <c r="I236" i="5"/>
  <c r="I313" i="5"/>
  <c r="M279" i="32"/>
  <c r="I2" i="5"/>
  <c r="M120" i="32"/>
  <c r="I150" i="5"/>
  <c r="M333" i="32"/>
  <c r="M332" i="32"/>
  <c r="I149" i="5"/>
  <c r="I283" i="5"/>
  <c r="M160" i="32"/>
  <c r="M208" i="32"/>
  <c r="I187" i="5"/>
  <c r="AA187" i="5" s="1"/>
  <c r="I317" i="5"/>
  <c r="AA317" i="5" s="1"/>
  <c r="M283" i="32"/>
  <c r="M318" i="32"/>
  <c r="I49" i="5"/>
  <c r="M215" i="32"/>
  <c r="I194" i="5"/>
  <c r="M80" i="32"/>
  <c r="I227" i="5"/>
  <c r="M134" i="32"/>
  <c r="I16" i="5"/>
  <c r="I27" i="5"/>
  <c r="AA27" i="5" s="1"/>
  <c r="M296" i="32"/>
  <c r="I232" i="5"/>
  <c r="M85" i="32"/>
  <c r="M150" i="32"/>
  <c r="I273" i="5"/>
  <c r="M105" i="32"/>
  <c r="I72" i="5"/>
  <c r="M340" i="32"/>
  <c r="I157" i="5"/>
  <c r="M67" i="32"/>
  <c r="I214" i="5"/>
  <c r="I19" i="5"/>
  <c r="AA19" i="5" s="1"/>
  <c r="M137" i="32"/>
  <c r="M317" i="32"/>
  <c r="I48" i="5"/>
  <c r="M290" i="32"/>
  <c r="I324" i="5"/>
  <c r="I46" i="5"/>
  <c r="M315" i="32"/>
  <c r="M354" i="32"/>
  <c r="I171" i="5"/>
  <c r="AA171" i="5" s="1"/>
  <c r="M104" i="32"/>
  <c r="I71" i="5"/>
  <c r="I55" i="5"/>
  <c r="AA55" i="5" s="1"/>
  <c r="M324" i="32"/>
  <c r="M143" i="32"/>
  <c r="I266" i="5"/>
  <c r="F541" i="29" l="1"/>
  <c r="H541" i="29" s="1"/>
  <c r="AA48" i="5"/>
  <c r="F103" i="29"/>
  <c r="H103" i="29" s="1"/>
  <c r="AA214" i="5"/>
  <c r="F98" i="29"/>
  <c r="H98" i="29" s="1"/>
  <c r="F60" i="29"/>
  <c r="H60" i="29" s="1"/>
  <c r="L37" i="5"/>
  <c r="F233" i="29"/>
  <c r="H233" i="29" s="1"/>
  <c r="AA72" i="5"/>
  <c r="F93" i="29"/>
  <c r="H93" i="29" s="1"/>
  <c r="F104" i="29"/>
  <c r="H104" i="29" s="1"/>
  <c r="AA218" i="5"/>
  <c r="F135" i="29"/>
  <c r="H135" i="29" s="1"/>
  <c r="AA129" i="5"/>
  <c r="F174" i="29"/>
  <c r="H174" i="29" s="1"/>
  <c r="AA305" i="5"/>
  <c r="M51" i="5"/>
  <c r="F102" i="29"/>
  <c r="H102" i="29" s="1"/>
  <c r="N37" i="5"/>
  <c r="AA220" i="5"/>
  <c r="F146" i="29"/>
  <c r="H146" i="29" s="1"/>
  <c r="F168" i="29"/>
  <c r="H168" i="29" s="1"/>
  <c r="AA6" i="5"/>
  <c r="F315" i="29"/>
  <c r="H315" i="29" s="1"/>
  <c r="AA184" i="5"/>
  <c r="F401" i="29"/>
  <c r="H401" i="29" s="1"/>
  <c r="F413" i="29"/>
  <c r="H413" i="29" s="1"/>
  <c r="F328" i="29"/>
  <c r="H328" i="29" s="1"/>
  <c r="F405" i="29"/>
  <c r="H405" i="29" s="1"/>
  <c r="AA195" i="5"/>
  <c r="F321" i="29"/>
  <c r="H321" i="29" s="1"/>
  <c r="N33" i="5"/>
  <c r="F462" i="29"/>
  <c r="H462" i="29" s="1"/>
  <c r="AA73" i="5"/>
  <c r="F529" i="29"/>
  <c r="H529" i="29" s="1"/>
  <c r="F530" i="29"/>
  <c r="H530" i="29" s="1"/>
  <c r="M10" i="5"/>
  <c r="AA42" i="5"/>
  <c r="F528" i="29"/>
  <c r="H528" i="29" s="1"/>
  <c r="F285" i="29"/>
  <c r="H285" i="29" s="1"/>
  <c r="AA15" i="5"/>
  <c r="F163" i="29"/>
  <c r="H163" i="29" s="1"/>
  <c r="N4" i="5"/>
  <c r="F156" i="29"/>
  <c r="H156" i="29" s="1"/>
  <c r="F304" i="29"/>
  <c r="H304" i="29" s="1"/>
  <c r="F491" i="29"/>
  <c r="H491" i="29" s="1"/>
  <c r="F489" i="29"/>
  <c r="H489" i="29" s="1"/>
  <c r="F487" i="29"/>
  <c r="H487" i="29" s="1"/>
  <c r="F490" i="29"/>
  <c r="H490" i="29" s="1"/>
  <c r="F492" i="29"/>
  <c r="H492" i="29" s="1"/>
  <c r="AA249" i="5"/>
  <c r="F488" i="29"/>
  <c r="H488" i="29" s="1"/>
  <c r="F173" i="29"/>
  <c r="H173" i="29" s="1"/>
  <c r="AA304" i="5"/>
  <c r="F172" i="29"/>
  <c r="H172" i="29" s="1"/>
  <c r="L53" i="5"/>
  <c r="AA315" i="5"/>
  <c r="F337" i="29"/>
  <c r="H337" i="29" s="1"/>
  <c r="F341" i="29"/>
  <c r="H341" i="29" s="1"/>
  <c r="AA247" i="5"/>
  <c r="F366" i="29"/>
  <c r="H366" i="29" s="1"/>
  <c r="F222" i="29"/>
  <c r="H222" i="29" s="1"/>
  <c r="F350" i="29"/>
  <c r="H350" i="29" s="1"/>
  <c r="F345" i="29"/>
  <c r="H345" i="29" s="1"/>
  <c r="F237" i="29"/>
  <c r="H237" i="29" s="1"/>
  <c r="F208" i="29"/>
  <c r="H208" i="29" s="1"/>
  <c r="M16" i="5"/>
  <c r="F223" i="29"/>
  <c r="H223" i="29" s="1"/>
  <c r="AA76" i="5"/>
  <c r="F125" i="29"/>
  <c r="H125" i="29" s="1"/>
  <c r="F24" i="29"/>
  <c r="H24" i="29" s="1"/>
  <c r="AA117" i="5"/>
  <c r="F29" i="29"/>
  <c r="H29" i="29" s="1"/>
  <c r="AA28" i="5"/>
  <c r="F514" i="29"/>
  <c r="H514" i="29" s="1"/>
  <c r="F513" i="29"/>
  <c r="H513" i="29" s="1"/>
  <c r="F460" i="29"/>
  <c r="H460" i="29" s="1"/>
  <c r="F461" i="29"/>
  <c r="H461" i="29" s="1"/>
  <c r="AA67" i="5"/>
  <c r="F291" i="29"/>
  <c r="H291" i="29" s="1"/>
  <c r="M44" i="5"/>
  <c r="AA258" i="5"/>
  <c r="F542" i="29"/>
  <c r="H542" i="29" s="1"/>
  <c r="N11" i="5"/>
  <c r="AA53" i="5"/>
  <c r="F515" i="29"/>
  <c r="H515" i="29" s="1"/>
  <c r="AA31" i="5"/>
  <c r="F225" i="29"/>
  <c r="H225" i="29" s="1"/>
  <c r="L15" i="5"/>
  <c r="F229" i="29"/>
  <c r="H229" i="29" s="1"/>
  <c r="AA68" i="5"/>
  <c r="F275" i="29"/>
  <c r="H275" i="29" s="1"/>
  <c r="N48" i="5"/>
  <c r="AA294" i="5"/>
  <c r="F494" i="29"/>
  <c r="H494" i="29" s="1"/>
  <c r="F495" i="29"/>
  <c r="H495" i="29" s="1"/>
  <c r="F382" i="29"/>
  <c r="H382" i="29" s="1"/>
  <c r="L32" i="5"/>
  <c r="F390" i="29"/>
  <c r="H390" i="29" s="1"/>
  <c r="F493" i="29"/>
  <c r="H493" i="29" s="1"/>
  <c r="AA182" i="5"/>
  <c r="F427" i="29"/>
  <c r="H427" i="29" s="1"/>
  <c r="F70" i="29"/>
  <c r="H70" i="29" s="1"/>
  <c r="F419" i="29"/>
  <c r="H419" i="29" s="1"/>
  <c r="AA283" i="5"/>
  <c r="AA150" i="5"/>
  <c r="L28" i="5"/>
  <c r="F272" i="29"/>
  <c r="H272" i="29" s="1"/>
  <c r="AA313" i="5"/>
  <c r="N52" i="5"/>
  <c r="F422" i="29"/>
  <c r="H422" i="29" s="1"/>
  <c r="F75" i="29"/>
  <c r="H75" i="29" s="1"/>
  <c r="AA287" i="5"/>
  <c r="F369" i="29"/>
  <c r="H369" i="29" s="1"/>
  <c r="F293" i="29"/>
  <c r="H293" i="29" s="1"/>
  <c r="AA262" i="5"/>
  <c r="N44" i="5"/>
  <c r="F134" i="29"/>
  <c r="H134" i="29" s="1"/>
  <c r="AA128" i="5"/>
  <c r="F269" i="29"/>
  <c r="H269" i="29" s="1"/>
  <c r="AA310" i="5"/>
  <c r="F423" i="29"/>
  <c r="H423" i="29" s="1"/>
  <c r="F220" i="29"/>
  <c r="H220" i="29" s="1"/>
  <c r="F430" i="29"/>
  <c r="H430" i="29" s="1"/>
  <c r="AA289" i="5"/>
  <c r="N16" i="5"/>
  <c r="F240" i="29"/>
  <c r="H240" i="29" s="1"/>
  <c r="F224" i="29"/>
  <c r="H224" i="29" s="1"/>
  <c r="AA78" i="5"/>
  <c r="F480" i="29"/>
  <c r="H480" i="29" s="1"/>
  <c r="F478" i="29"/>
  <c r="H478" i="29" s="1"/>
  <c r="F479" i="29"/>
  <c r="H479" i="29" s="1"/>
  <c r="AA282" i="5"/>
  <c r="F485" i="29"/>
  <c r="H485" i="29" s="1"/>
  <c r="F486" i="29"/>
  <c r="H486" i="29" s="1"/>
  <c r="AA288" i="5"/>
  <c r="F177" i="29"/>
  <c r="H177" i="29" s="1"/>
  <c r="AA308" i="5"/>
  <c r="F511" i="29"/>
  <c r="H511" i="29" s="1"/>
  <c r="AA24" i="5"/>
  <c r="L7" i="5"/>
  <c r="F238" i="29"/>
  <c r="H238" i="29" s="1"/>
  <c r="F209" i="29"/>
  <c r="H209" i="29" s="1"/>
  <c r="F245" i="29"/>
  <c r="H245" i="29" s="1"/>
  <c r="AA77" i="5"/>
  <c r="F234" i="29"/>
  <c r="H234" i="29" s="1"/>
  <c r="F359" i="29"/>
  <c r="H359" i="29" s="1"/>
  <c r="F137" i="29"/>
  <c r="H137" i="29" s="1"/>
  <c r="AA133" i="5"/>
  <c r="F354" i="29"/>
  <c r="H354" i="29" s="1"/>
  <c r="F397" i="29"/>
  <c r="H397" i="29" s="1"/>
  <c r="F391" i="29"/>
  <c r="H391" i="29" s="1"/>
  <c r="AA271" i="5"/>
  <c r="F384" i="29"/>
  <c r="H384" i="29" s="1"/>
  <c r="F247" i="29"/>
  <c r="H247" i="29" s="1"/>
  <c r="F145" i="29"/>
  <c r="H145" i="29" s="1"/>
  <c r="M3" i="5"/>
  <c r="AA5" i="5"/>
  <c r="F25" i="29"/>
  <c r="H25" i="29" s="1"/>
  <c r="F30" i="29"/>
  <c r="H30" i="29" s="1"/>
  <c r="AA119" i="5"/>
  <c r="F127" i="29"/>
  <c r="H127" i="29" s="1"/>
  <c r="F147" i="29"/>
  <c r="H147" i="29" s="1"/>
  <c r="AA7" i="5"/>
  <c r="F338" i="29"/>
  <c r="H338" i="29" s="1"/>
  <c r="F351" i="29"/>
  <c r="H351" i="29" s="1"/>
  <c r="F287" i="29"/>
  <c r="H287" i="29" s="1"/>
  <c r="F331" i="29"/>
  <c r="H331" i="29" s="1"/>
  <c r="F356" i="29"/>
  <c r="H356" i="29" s="1"/>
  <c r="F311" i="29"/>
  <c r="H311" i="29" s="1"/>
  <c r="F360" i="29"/>
  <c r="H360" i="29" s="1"/>
  <c r="F342" i="29"/>
  <c r="H342" i="29" s="1"/>
  <c r="L42" i="5"/>
  <c r="F346" i="29"/>
  <c r="H346" i="29" s="1"/>
  <c r="AA240" i="5"/>
  <c r="F204" i="29"/>
  <c r="H204" i="29" s="1"/>
  <c r="F202" i="29"/>
  <c r="H202" i="29" s="1"/>
  <c r="F217" i="29"/>
  <c r="H217" i="29" s="1"/>
  <c r="AA267" i="5"/>
  <c r="F214" i="29"/>
  <c r="H214" i="29" s="1"/>
  <c r="F273" i="29"/>
  <c r="H273" i="29" s="1"/>
  <c r="AA314" i="5"/>
  <c r="AA81" i="5"/>
  <c r="F211" i="29"/>
  <c r="H211" i="29" s="1"/>
  <c r="F277" i="29"/>
  <c r="H277" i="29" s="1"/>
  <c r="F375" i="29"/>
  <c r="H375" i="29" s="1"/>
  <c r="F256" i="29"/>
  <c r="H256" i="29" s="1"/>
  <c r="F83" i="29"/>
  <c r="H83" i="29" s="1"/>
  <c r="F320" i="29"/>
  <c r="H320" i="29" s="1"/>
  <c r="F404" i="29"/>
  <c r="H404" i="29" s="1"/>
  <c r="F335" i="29"/>
  <c r="H335" i="29" s="1"/>
  <c r="F94" i="29"/>
  <c r="H94" i="29" s="1"/>
  <c r="F364" i="29"/>
  <c r="H364" i="29" s="1"/>
  <c r="AA268" i="5"/>
  <c r="F326" i="29"/>
  <c r="H326" i="29" s="1"/>
  <c r="M46" i="5"/>
  <c r="F87" i="29"/>
  <c r="H87" i="29" s="1"/>
  <c r="F187" i="29"/>
  <c r="H187" i="29" s="1"/>
  <c r="F193" i="29"/>
  <c r="H193" i="29" s="1"/>
  <c r="F181" i="29"/>
  <c r="H181" i="29" s="1"/>
  <c r="F372" i="29"/>
  <c r="H372" i="29" s="1"/>
  <c r="F199" i="29"/>
  <c r="H199" i="29" s="1"/>
  <c r="AA300" i="5"/>
  <c r="AA320" i="5"/>
  <c r="M54" i="5"/>
  <c r="F317" i="29"/>
  <c r="H317" i="29" s="1"/>
  <c r="F313" i="29"/>
  <c r="H313" i="29" s="1"/>
  <c r="AA196" i="5"/>
  <c r="AA122" i="5"/>
  <c r="F129" i="29"/>
  <c r="H129" i="29" s="1"/>
  <c r="F119" i="29"/>
  <c r="H119" i="29" s="1"/>
  <c r="F453" i="29"/>
  <c r="H453" i="29" s="1"/>
  <c r="F454" i="29"/>
  <c r="H454" i="29" s="1"/>
  <c r="F455" i="29"/>
  <c r="H455" i="29" s="1"/>
  <c r="N14" i="5"/>
  <c r="AA65" i="5"/>
  <c r="F456" i="29"/>
  <c r="H456" i="29" s="1"/>
  <c r="F429" i="29"/>
  <c r="H429" i="29" s="1"/>
  <c r="F379" i="29"/>
  <c r="H379" i="29" s="1"/>
  <c r="F407" i="29"/>
  <c r="H407" i="29" s="1"/>
  <c r="F330" i="29"/>
  <c r="H330" i="29" s="1"/>
  <c r="F112" i="29"/>
  <c r="H112" i="29" s="1"/>
  <c r="F97" i="29"/>
  <c r="H97" i="29" s="1"/>
  <c r="F92" i="29"/>
  <c r="H92" i="29" s="1"/>
  <c r="F73" i="29"/>
  <c r="H73" i="29" s="1"/>
  <c r="F86" i="29"/>
  <c r="H86" i="29" s="1"/>
  <c r="F323" i="29"/>
  <c r="H323" i="29" s="1"/>
  <c r="AA223" i="5"/>
  <c r="F477" i="29"/>
  <c r="H477" i="29" s="1"/>
  <c r="F250" i="29"/>
  <c r="H250" i="29" s="1"/>
  <c r="AA277" i="5"/>
  <c r="F474" i="29"/>
  <c r="H474" i="29" s="1"/>
  <c r="F414" i="29"/>
  <c r="H414" i="29" s="1"/>
  <c r="F475" i="29"/>
  <c r="H475" i="29" s="1"/>
  <c r="F66" i="29"/>
  <c r="H66" i="29" s="1"/>
  <c r="F78" i="29"/>
  <c r="H78" i="29" s="1"/>
  <c r="F400" i="29"/>
  <c r="H400" i="29" s="1"/>
  <c r="L47" i="5"/>
  <c r="F476" i="29"/>
  <c r="H476" i="29" s="1"/>
  <c r="F130" i="29"/>
  <c r="H130" i="29" s="1"/>
  <c r="AA124" i="5"/>
  <c r="F140" i="29"/>
  <c r="H140" i="29" s="1"/>
  <c r="F265" i="29"/>
  <c r="H265" i="29" s="1"/>
  <c r="F254" i="29"/>
  <c r="H254" i="29" s="1"/>
  <c r="AA170" i="5"/>
  <c r="N29" i="5"/>
  <c r="F239" i="29"/>
  <c r="H239" i="29" s="1"/>
  <c r="F210" i="29"/>
  <c r="H210" i="29" s="1"/>
  <c r="M17" i="5"/>
  <c r="AA80" i="5"/>
  <c r="F114" i="29"/>
  <c r="H114" i="29" s="1"/>
  <c r="AA231" i="5"/>
  <c r="F302" i="29"/>
  <c r="H302" i="29" s="1"/>
  <c r="F161" i="29"/>
  <c r="H161" i="29" s="1"/>
  <c r="AA13" i="5"/>
  <c r="F154" i="29"/>
  <c r="H154" i="29" s="1"/>
  <c r="F283" i="29"/>
  <c r="H283" i="29" s="1"/>
  <c r="F386" i="29"/>
  <c r="H386" i="29" s="1"/>
  <c r="F392" i="29"/>
  <c r="H392" i="29" s="1"/>
  <c r="F394" i="29"/>
  <c r="H394" i="29" s="1"/>
  <c r="F249" i="29"/>
  <c r="H249" i="29" s="1"/>
  <c r="F438" i="29"/>
  <c r="H438" i="29" s="1"/>
  <c r="F398" i="29"/>
  <c r="H398" i="29" s="1"/>
  <c r="AA275" i="5"/>
  <c r="F399" i="29"/>
  <c r="H399" i="29" s="1"/>
  <c r="F385" i="29"/>
  <c r="H385" i="29" s="1"/>
  <c r="F248" i="29"/>
  <c r="H248" i="29" s="1"/>
  <c r="F258" i="29"/>
  <c r="H258" i="29" s="1"/>
  <c r="F267" i="29"/>
  <c r="H267" i="29" s="1"/>
  <c r="AA174" i="5"/>
  <c r="F406" i="29"/>
  <c r="H406" i="29" s="1"/>
  <c r="F96" i="29"/>
  <c r="H96" i="29" s="1"/>
  <c r="F85" i="29"/>
  <c r="H85" i="29" s="1"/>
  <c r="F329" i="29"/>
  <c r="H329" i="29" s="1"/>
  <c r="F72" i="29"/>
  <c r="H72" i="29" s="1"/>
  <c r="F322" i="29"/>
  <c r="H322" i="29" s="1"/>
  <c r="F111" i="29"/>
  <c r="H111" i="29" s="1"/>
  <c r="AA217" i="5"/>
  <c r="F428" i="29"/>
  <c r="H428" i="29" s="1"/>
  <c r="F378" i="29"/>
  <c r="H378" i="29" s="1"/>
  <c r="F91" i="29"/>
  <c r="H91" i="29" s="1"/>
  <c r="F318" i="29"/>
  <c r="H318" i="29" s="1"/>
  <c r="AA189" i="5"/>
  <c r="AA226" i="5"/>
  <c r="F442" i="29"/>
  <c r="H442" i="29" s="1"/>
  <c r="N38" i="5"/>
  <c r="F441" i="29"/>
  <c r="H441" i="29" s="1"/>
  <c r="F84" i="29"/>
  <c r="H84" i="29" s="1"/>
  <c r="AA269" i="5"/>
  <c r="F444" i="29"/>
  <c r="H444" i="29" s="1"/>
  <c r="F445" i="29"/>
  <c r="H445" i="29" s="1"/>
  <c r="AA61" i="5"/>
  <c r="F319" i="29"/>
  <c r="H319" i="29" s="1"/>
  <c r="F325" i="29"/>
  <c r="H325" i="29" s="1"/>
  <c r="M33" i="5"/>
  <c r="AA190" i="5"/>
  <c r="F403" i="29"/>
  <c r="H403" i="29" s="1"/>
  <c r="F482" i="29"/>
  <c r="H482" i="29" s="1"/>
  <c r="F483" i="29"/>
  <c r="H483" i="29" s="1"/>
  <c r="AA285" i="5"/>
  <c r="F484" i="29"/>
  <c r="H484" i="29" s="1"/>
  <c r="F481" i="29"/>
  <c r="H481" i="29" s="1"/>
  <c r="F88" i="29"/>
  <c r="H88" i="29" s="1"/>
  <c r="AA270" i="5"/>
  <c r="AA139" i="5"/>
  <c r="N25" i="5"/>
  <c r="F446" i="29"/>
  <c r="H446" i="29" s="1"/>
  <c r="M14" i="5"/>
  <c r="F447" i="29"/>
  <c r="H447" i="29" s="1"/>
  <c r="F448" i="29"/>
  <c r="H448" i="29" s="1"/>
  <c r="AA63" i="5"/>
  <c r="F449" i="29"/>
  <c r="H449" i="29" s="1"/>
  <c r="F105" i="29"/>
  <c r="H105" i="29" s="1"/>
  <c r="M39" i="5"/>
  <c r="AA229" i="5"/>
  <c r="F551" i="29"/>
  <c r="H551" i="29" s="1"/>
  <c r="F550" i="29"/>
  <c r="H550" i="29" s="1"/>
  <c r="AA169" i="5"/>
  <c r="F297" i="29"/>
  <c r="H297" i="29" s="1"/>
  <c r="N5" i="5"/>
  <c r="AA21" i="5"/>
  <c r="F549" i="29"/>
  <c r="H549" i="29" s="1"/>
  <c r="F546" i="29"/>
  <c r="H546" i="29" s="1"/>
  <c r="AA166" i="5"/>
  <c r="F547" i="29"/>
  <c r="H547" i="29" s="1"/>
  <c r="F548" i="29"/>
  <c r="H548" i="29" s="1"/>
  <c r="F200" i="29"/>
  <c r="H200" i="29" s="1"/>
  <c r="AA301" i="5"/>
  <c r="F188" i="29"/>
  <c r="H188" i="29" s="1"/>
  <c r="F194" i="29"/>
  <c r="H194" i="29" s="1"/>
  <c r="F182" i="29"/>
  <c r="H182" i="29" s="1"/>
  <c r="F57" i="29"/>
  <c r="H57" i="29" s="1"/>
  <c r="N50" i="5"/>
  <c r="AA266" i="5"/>
  <c r="F82" i="29"/>
  <c r="H82" i="29" s="1"/>
  <c r="F77" i="29"/>
  <c r="H77" i="29" s="1"/>
  <c r="F228" i="29"/>
  <c r="H228" i="29" s="1"/>
  <c r="F232" i="29"/>
  <c r="H232" i="29" s="1"/>
  <c r="N15" i="5"/>
  <c r="AA71" i="5"/>
  <c r="F305" i="29"/>
  <c r="H305" i="29" s="1"/>
  <c r="AA16" i="5"/>
  <c r="F496" i="29"/>
  <c r="H496" i="29" s="1"/>
  <c r="AA194" i="5"/>
  <c r="F497" i="29"/>
  <c r="H497" i="29" s="1"/>
  <c r="F498" i="29"/>
  <c r="H498" i="29" s="1"/>
  <c r="F499" i="29"/>
  <c r="H499" i="29" s="1"/>
  <c r="F284" i="29"/>
  <c r="H284" i="29" s="1"/>
  <c r="F155" i="29"/>
  <c r="H155" i="29" s="1"/>
  <c r="AA14" i="5"/>
  <c r="F303" i="29"/>
  <c r="H303" i="29" s="1"/>
  <c r="F162" i="29"/>
  <c r="H162" i="29" s="1"/>
  <c r="M53" i="5"/>
  <c r="AA316" i="5"/>
  <c r="F421" i="29"/>
  <c r="H421" i="29" s="1"/>
  <c r="F368" i="29"/>
  <c r="H368" i="29" s="1"/>
  <c r="AA286" i="5"/>
  <c r="F74" i="29"/>
  <c r="H74" i="29" s="1"/>
  <c r="N47" i="5"/>
  <c r="N3" i="5"/>
  <c r="F170" i="29"/>
  <c r="H170" i="29" s="1"/>
  <c r="F149" i="29"/>
  <c r="H149" i="29" s="1"/>
  <c r="AA8" i="5"/>
  <c r="F63" i="29"/>
  <c r="H63" i="29" s="1"/>
  <c r="F52" i="29"/>
  <c r="H52" i="29" s="1"/>
  <c r="AA233" i="5"/>
  <c r="N39" i="5"/>
  <c r="F10" i="29"/>
  <c r="H10" i="29" s="1"/>
  <c r="AA59" i="5"/>
  <c r="F4" i="29"/>
  <c r="H4" i="29" s="1"/>
  <c r="N13" i="5"/>
  <c r="F42" i="29"/>
  <c r="H42" i="29" s="1"/>
  <c r="F8" i="29"/>
  <c r="H8" i="29" s="1"/>
  <c r="F274" i="29"/>
  <c r="H274" i="29" s="1"/>
  <c r="M48" i="5"/>
  <c r="AA290" i="5"/>
  <c r="F420" i="29"/>
  <c r="H420" i="29" s="1"/>
  <c r="AA284" i="5"/>
  <c r="F467" i="29"/>
  <c r="H467" i="29" s="1"/>
  <c r="F468" i="29"/>
  <c r="H468" i="29" s="1"/>
  <c r="AA274" i="5"/>
  <c r="F355" i="29"/>
  <c r="H355" i="29" s="1"/>
  <c r="F118" i="29"/>
  <c r="H118" i="29" s="1"/>
  <c r="AA121" i="5"/>
  <c r="L24" i="5"/>
  <c r="N7" i="5"/>
  <c r="AA30" i="5"/>
  <c r="AA173" i="5"/>
  <c r="F552" i="29"/>
  <c r="H552" i="29" s="1"/>
  <c r="F553" i="29"/>
  <c r="H553" i="29" s="1"/>
  <c r="F545" i="29"/>
  <c r="H545" i="29" s="1"/>
  <c r="AA163" i="5"/>
  <c r="F176" i="29"/>
  <c r="H176" i="29" s="1"/>
  <c r="AA307" i="5"/>
  <c r="N51" i="5"/>
  <c r="F383" i="29"/>
  <c r="H383" i="29" s="1"/>
  <c r="AA199" i="5"/>
  <c r="AA221" i="5"/>
  <c r="F110" i="29"/>
  <c r="H110" i="29" s="1"/>
  <c r="F62" i="29"/>
  <c r="H62" i="29" s="1"/>
  <c r="F113" i="29"/>
  <c r="H113" i="29" s="1"/>
  <c r="AA232" i="5"/>
  <c r="L27" i="5"/>
  <c r="AA142" i="5"/>
  <c r="F5" i="29"/>
  <c r="H5" i="29" s="1"/>
  <c r="AA60" i="5"/>
  <c r="F43" i="29"/>
  <c r="H43" i="29" s="1"/>
  <c r="F9" i="29"/>
  <c r="H9" i="29" s="1"/>
  <c r="AA324" i="5"/>
  <c r="N54" i="5"/>
  <c r="F246" i="29"/>
  <c r="H246" i="29" s="1"/>
  <c r="AA149" i="5"/>
  <c r="N27" i="5"/>
  <c r="F425" i="29"/>
  <c r="H425" i="29" s="1"/>
  <c r="F433" i="29"/>
  <c r="H433" i="29" s="1"/>
  <c r="F424" i="29"/>
  <c r="H424" i="29" s="1"/>
  <c r="AA198" i="5"/>
  <c r="F543" i="29"/>
  <c r="H543" i="29" s="1"/>
  <c r="AA148" i="5"/>
  <c r="F334" i="29"/>
  <c r="H334" i="29" s="1"/>
  <c r="AA245" i="5"/>
  <c r="F363" i="29"/>
  <c r="H363" i="29" s="1"/>
  <c r="F46" i="29"/>
  <c r="H46" i="29" s="1"/>
  <c r="F47" i="29"/>
  <c r="H47" i="29" s="1"/>
  <c r="F244" i="29"/>
  <c r="H244" i="29" s="1"/>
  <c r="F243" i="29"/>
  <c r="H243" i="29" s="1"/>
  <c r="AA165" i="5"/>
  <c r="F463" i="29"/>
  <c r="H463" i="29" s="1"/>
  <c r="F242" i="29"/>
  <c r="H242" i="29" s="1"/>
  <c r="F213" i="29"/>
  <c r="H213" i="29" s="1"/>
  <c r="N17" i="5"/>
  <c r="AA84" i="5"/>
  <c r="AA116" i="5"/>
  <c r="F40" i="29"/>
  <c r="H40" i="29" s="1"/>
  <c r="F12" i="29"/>
  <c r="H12" i="29" s="1"/>
  <c r="F124" i="29"/>
  <c r="H124" i="29" s="1"/>
  <c r="M23" i="5"/>
  <c r="AA34" i="5"/>
  <c r="M8" i="5"/>
  <c r="F516" i="29"/>
  <c r="H516" i="29" s="1"/>
  <c r="F517" i="29"/>
  <c r="H517" i="29" s="1"/>
  <c r="F261" i="29"/>
  <c r="H261" i="29" s="1"/>
  <c r="AA209" i="5"/>
  <c r="F535" i="29"/>
  <c r="H535" i="29" s="1"/>
  <c r="AA44" i="5"/>
  <c r="F534" i="29"/>
  <c r="H534" i="29" s="1"/>
  <c r="F39" i="29"/>
  <c r="H39" i="29" s="1"/>
  <c r="F19" i="29"/>
  <c r="H19" i="29" s="1"/>
  <c r="AA58" i="5"/>
  <c r="F296" i="29"/>
  <c r="H296" i="29" s="1"/>
  <c r="F159" i="29"/>
  <c r="H159" i="29" s="1"/>
  <c r="F152" i="29"/>
  <c r="H152" i="29" s="1"/>
  <c r="AA11" i="5"/>
  <c r="F300" i="29"/>
  <c r="H300" i="29" s="1"/>
  <c r="F281" i="29"/>
  <c r="H281" i="29" s="1"/>
  <c r="F61" i="29"/>
  <c r="H61" i="29" s="1"/>
  <c r="F99" i="29"/>
  <c r="H99" i="29" s="1"/>
  <c r="AA215" i="5"/>
  <c r="F207" i="29"/>
  <c r="H207" i="29" s="1"/>
  <c r="F276" i="29"/>
  <c r="H276" i="29" s="1"/>
  <c r="AA75" i="5"/>
  <c r="F236" i="29"/>
  <c r="H236" i="29" s="1"/>
  <c r="F121" i="29"/>
  <c r="H121" i="29" s="1"/>
  <c r="N24" i="5"/>
  <c r="AA130" i="5"/>
  <c r="F132" i="29"/>
  <c r="H132" i="29" s="1"/>
  <c r="AA126" i="5"/>
  <c r="F59" i="29"/>
  <c r="H59" i="29" s="1"/>
  <c r="AA160" i="5"/>
  <c r="F251" i="29"/>
  <c r="H251" i="29" s="1"/>
  <c r="L29" i="5"/>
  <c r="F48" i="29"/>
  <c r="H48" i="29" s="1"/>
  <c r="AA162" i="5"/>
  <c r="AA253" i="5"/>
  <c r="N43" i="5"/>
  <c r="F270" i="29"/>
  <c r="H270" i="29" s="1"/>
  <c r="AA311" i="5"/>
  <c r="M52" i="5"/>
  <c r="F259" i="29"/>
  <c r="H259" i="29" s="1"/>
  <c r="AA211" i="5"/>
  <c r="N35" i="5"/>
  <c r="F402" i="29"/>
  <c r="H402" i="29" s="1"/>
  <c r="AA185" i="5"/>
  <c r="F312" i="29"/>
  <c r="H312" i="29" s="1"/>
  <c r="N32" i="5"/>
  <c r="F316" i="29"/>
  <c r="H316" i="29" s="1"/>
  <c r="F507" i="29"/>
  <c r="H507" i="29" s="1"/>
  <c r="AA131" i="5"/>
  <c r="F120" i="29"/>
  <c r="H120" i="29" s="1"/>
  <c r="M24" i="5"/>
  <c r="AA123" i="5"/>
  <c r="F260" i="29"/>
  <c r="H260" i="29" s="1"/>
  <c r="AA210" i="5"/>
  <c r="F175" i="29"/>
  <c r="H175" i="29" s="1"/>
  <c r="AA306" i="5"/>
  <c r="F327" i="29"/>
  <c r="H327" i="29" s="1"/>
  <c r="AA244" i="5"/>
  <c r="F416" i="29"/>
  <c r="H416" i="29" s="1"/>
  <c r="F426" i="29"/>
  <c r="H426" i="29" s="1"/>
  <c r="F218" i="29"/>
  <c r="H218" i="29" s="1"/>
  <c r="F205" i="29"/>
  <c r="H205" i="29" s="1"/>
  <c r="F215" i="29"/>
  <c r="H215" i="29" s="1"/>
  <c r="F203" i="29"/>
  <c r="H203" i="29" s="1"/>
  <c r="AA280" i="5"/>
  <c r="AA39" i="5"/>
  <c r="F522" i="29"/>
  <c r="H522" i="29" s="1"/>
  <c r="F523" i="29"/>
  <c r="H523" i="29" s="1"/>
  <c r="F443" i="29"/>
  <c r="H443" i="29" s="1"/>
  <c r="AA235" i="5"/>
  <c r="F171" i="29"/>
  <c r="H171" i="29" s="1"/>
  <c r="L51" i="5"/>
  <c r="AA303" i="5"/>
  <c r="F376" i="29"/>
  <c r="H376" i="29" s="1"/>
  <c r="AA186" i="5"/>
  <c r="N42" i="5"/>
  <c r="AA246" i="5"/>
  <c r="F336" i="29"/>
  <c r="H336" i="29" s="1"/>
  <c r="F365" i="29"/>
  <c r="H365" i="29" s="1"/>
  <c r="F235" i="29"/>
  <c r="H235" i="29" s="1"/>
  <c r="AA74" i="5"/>
  <c r="F206" i="29"/>
  <c r="H206" i="29" s="1"/>
  <c r="L16" i="5"/>
  <c r="F41" i="29"/>
  <c r="H41" i="29" s="1"/>
  <c r="AA118" i="5"/>
  <c r="F13" i="29"/>
  <c r="H13" i="29" s="1"/>
  <c r="F126" i="29"/>
  <c r="H126" i="29" s="1"/>
  <c r="AA175" i="5"/>
  <c r="M30" i="5"/>
  <c r="F431" i="29"/>
  <c r="H431" i="29" s="1"/>
  <c r="F314" i="29"/>
  <c r="H314" i="29" s="1"/>
  <c r="AA203" i="5"/>
  <c r="F409" i="29"/>
  <c r="H409" i="29" s="1"/>
  <c r="F387" i="29"/>
  <c r="H387" i="29" s="1"/>
  <c r="F432" i="29"/>
  <c r="H432" i="29" s="1"/>
  <c r="F435" i="29"/>
  <c r="H435" i="29" s="1"/>
  <c r="N34" i="5"/>
  <c r="F437" i="29"/>
  <c r="H437" i="29" s="1"/>
  <c r="F101" i="29"/>
  <c r="H101" i="29" s="1"/>
  <c r="M37" i="5"/>
  <c r="AA216" i="5"/>
  <c r="F69" i="29"/>
  <c r="H69" i="29" s="1"/>
  <c r="F367" i="29"/>
  <c r="H367" i="29" s="1"/>
  <c r="F418" i="29"/>
  <c r="H418" i="29" s="1"/>
  <c r="AA279" i="5"/>
  <c r="F457" i="29"/>
  <c r="H457" i="29" s="1"/>
  <c r="AA66" i="5"/>
  <c r="F458" i="29"/>
  <c r="H458" i="29" s="1"/>
  <c r="F459" i="29"/>
  <c r="H459" i="29" s="1"/>
  <c r="M43" i="5"/>
  <c r="AA250" i="5"/>
  <c r="F307" i="29"/>
  <c r="H307" i="29" s="1"/>
  <c r="AA29" i="5"/>
  <c r="F309" i="29"/>
  <c r="H309" i="29" s="1"/>
  <c r="F166" i="29"/>
  <c r="H166" i="29" s="1"/>
  <c r="F216" i="29"/>
  <c r="H216" i="29" s="1"/>
  <c r="F219" i="29"/>
  <c r="H219" i="29" s="1"/>
  <c r="F362" i="29"/>
  <c r="H362" i="29" s="1"/>
  <c r="F333" i="29"/>
  <c r="H333" i="29" s="1"/>
  <c r="F221" i="29"/>
  <c r="H221" i="29" s="1"/>
  <c r="AA243" i="5"/>
  <c r="F353" i="29"/>
  <c r="H353" i="29" s="1"/>
  <c r="F358" i="29"/>
  <c r="H358" i="29" s="1"/>
  <c r="F344" i="29"/>
  <c r="H344" i="29" s="1"/>
  <c r="F348" i="29"/>
  <c r="H348" i="29" s="1"/>
  <c r="F290" i="29"/>
  <c r="H290" i="29" s="1"/>
  <c r="F340" i="29"/>
  <c r="H340" i="29" s="1"/>
  <c r="F252" i="29"/>
  <c r="H252" i="29" s="1"/>
  <c r="AA164" i="5"/>
  <c r="M29" i="5"/>
  <c r="F226" i="29"/>
  <c r="H226" i="29" s="1"/>
  <c r="F230" i="29"/>
  <c r="H230" i="29" s="1"/>
  <c r="AA69" i="5"/>
  <c r="F510" i="29"/>
  <c r="H510" i="29" s="1"/>
  <c r="AA132" i="5"/>
  <c r="F508" i="29"/>
  <c r="H508" i="29" s="1"/>
  <c r="F509" i="29"/>
  <c r="H509" i="29" s="1"/>
  <c r="F157" i="29"/>
  <c r="H157" i="29" s="1"/>
  <c r="F294" i="29"/>
  <c r="H294" i="29" s="1"/>
  <c r="F169" i="29"/>
  <c r="H169" i="29" s="1"/>
  <c r="L4" i="5"/>
  <c r="AA9" i="5"/>
  <c r="F150" i="29"/>
  <c r="H150" i="29" s="1"/>
  <c r="F280" i="29"/>
  <c r="H280" i="29" s="1"/>
  <c r="F298" i="29"/>
  <c r="H298" i="29" s="1"/>
  <c r="F381" i="29"/>
  <c r="H381" i="29" s="1"/>
  <c r="F141" i="29"/>
  <c r="H141" i="29" s="1"/>
  <c r="AA205" i="5"/>
  <c r="F540" i="29"/>
  <c r="H540" i="29" s="1"/>
  <c r="AA47" i="5"/>
  <c r="AA204" i="5"/>
  <c r="F410" i="29"/>
  <c r="H410" i="29" s="1"/>
  <c r="F395" i="29"/>
  <c r="H395" i="29" s="1"/>
  <c r="F520" i="29"/>
  <c r="H520" i="29" s="1"/>
  <c r="AA38" i="5"/>
  <c r="F521" i="29"/>
  <c r="H521" i="29" s="1"/>
  <c r="N9" i="5"/>
  <c r="O9" i="5" s="1"/>
  <c r="F531" i="29"/>
  <c r="H531" i="29" s="1"/>
  <c r="F532" i="29"/>
  <c r="H532" i="29" s="1"/>
  <c r="F533" i="29"/>
  <c r="H533" i="29" s="1"/>
  <c r="AA43" i="5"/>
  <c r="F231" i="29"/>
  <c r="H231" i="29" s="1"/>
  <c r="M15" i="5"/>
  <c r="AA70" i="5"/>
  <c r="F292" i="29"/>
  <c r="H292" i="29" s="1"/>
  <c r="AA239" i="5"/>
  <c r="N41" i="5"/>
  <c r="AA188" i="5"/>
  <c r="L33" i="5"/>
  <c r="F324" i="29"/>
  <c r="H324" i="29" s="1"/>
  <c r="F411" i="29"/>
  <c r="H411" i="29" s="1"/>
  <c r="F143" i="29"/>
  <c r="H143" i="29" s="1"/>
  <c r="AA3" i="5"/>
  <c r="F198" i="29"/>
  <c r="H198" i="29" s="1"/>
  <c r="F186" i="29"/>
  <c r="H186" i="29" s="1"/>
  <c r="F192" i="29"/>
  <c r="H192" i="29" s="1"/>
  <c r="M50" i="5"/>
  <c r="F180" i="29"/>
  <c r="H180" i="29" s="1"/>
  <c r="AA299" i="5"/>
  <c r="F55" i="29"/>
  <c r="H55" i="29" s="1"/>
  <c r="F22" i="29"/>
  <c r="H22" i="29" s="1"/>
  <c r="F58" i="29"/>
  <c r="H58" i="29" s="1"/>
  <c r="F195" i="29"/>
  <c r="H195" i="29" s="1"/>
  <c r="F201" i="29"/>
  <c r="H201" i="29" s="1"/>
  <c r="F189" i="29"/>
  <c r="H189" i="29" s="1"/>
  <c r="F183" i="29"/>
  <c r="H183" i="29" s="1"/>
  <c r="AA302" i="5"/>
  <c r="F50" i="29"/>
  <c r="H50" i="29" s="1"/>
  <c r="AA155" i="5"/>
  <c r="AA242" i="5"/>
  <c r="M42" i="5"/>
  <c r="F539" i="29"/>
  <c r="H539" i="29" s="1"/>
  <c r="F538" i="29"/>
  <c r="H538" i="29" s="1"/>
  <c r="AA46" i="5"/>
  <c r="F544" i="29"/>
  <c r="H544" i="29" s="1"/>
  <c r="AA157" i="5"/>
  <c r="F465" i="29"/>
  <c r="H465" i="29" s="1"/>
  <c r="AA273" i="5"/>
  <c r="F466" i="29"/>
  <c r="H466" i="29" s="1"/>
  <c r="F108" i="29"/>
  <c r="H108" i="29" s="1"/>
  <c r="AA227" i="5"/>
  <c r="M11" i="5"/>
  <c r="AA49" i="5"/>
  <c r="F286" i="29"/>
  <c r="H286" i="29" s="1"/>
  <c r="L41" i="5"/>
  <c r="F279" i="29"/>
  <c r="H279" i="29" s="1"/>
  <c r="AA236" i="5"/>
  <c r="F116" i="29"/>
  <c r="H116" i="29" s="1"/>
  <c r="F65" i="29"/>
  <c r="H65" i="29" s="1"/>
  <c r="AA228" i="5"/>
  <c r="F109" i="29"/>
  <c r="H109" i="29" s="1"/>
  <c r="F524" i="29"/>
  <c r="H524" i="29" s="1"/>
  <c r="AA40" i="5"/>
  <c r="L10" i="5"/>
  <c r="F525" i="29"/>
  <c r="H525" i="29" s="1"/>
  <c r="F31" i="29"/>
  <c r="H31" i="29" s="1"/>
  <c r="AA144" i="5"/>
  <c r="F268" i="29"/>
  <c r="H268" i="29" s="1"/>
  <c r="AA309" i="5"/>
  <c r="L52" i="5"/>
  <c r="F519" i="29"/>
  <c r="H519" i="29" s="1"/>
  <c r="F518" i="29"/>
  <c r="H518" i="29" s="1"/>
  <c r="AA35" i="5"/>
  <c r="F142" i="29"/>
  <c r="H142" i="29" s="1"/>
  <c r="L3" i="5"/>
  <c r="AA2" i="5"/>
  <c r="F38" i="29"/>
  <c r="H38" i="29" s="1"/>
  <c r="F7" i="29"/>
  <c r="H7" i="29" s="1"/>
  <c r="F3" i="29"/>
  <c r="H3" i="29" s="1"/>
  <c r="M13" i="5"/>
  <c r="F18" i="29"/>
  <c r="H18" i="29" s="1"/>
  <c r="AA57" i="5"/>
  <c r="F512" i="29"/>
  <c r="H512" i="29" s="1"/>
  <c r="AA25" i="5"/>
  <c r="M7" i="5"/>
  <c r="F505" i="29"/>
  <c r="H505" i="29" s="1"/>
  <c r="AA206" i="5"/>
  <c r="F506" i="29"/>
  <c r="H506" i="29" s="1"/>
  <c r="F374" i="29"/>
  <c r="H374" i="29" s="1"/>
  <c r="AA207" i="5"/>
  <c r="M35" i="5"/>
  <c r="F255" i="29"/>
  <c r="H255" i="29" s="1"/>
  <c r="F49" i="29"/>
  <c r="H49" i="29" s="1"/>
  <c r="AA168" i="5"/>
  <c r="F106" i="29"/>
  <c r="H106" i="29" s="1"/>
  <c r="AA230" i="5"/>
  <c r="AA17" i="5"/>
  <c r="M5" i="5"/>
  <c r="F527" i="29"/>
  <c r="H527" i="29" s="1"/>
  <c r="F526" i="29"/>
  <c r="H526" i="29" s="1"/>
  <c r="AA41" i="5"/>
  <c r="F408" i="29"/>
  <c r="H408" i="29" s="1"/>
  <c r="F396" i="29"/>
  <c r="H396" i="29" s="1"/>
  <c r="F388" i="29"/>
  <c r="H388" i="29" s="1"/>
  <c r="F440" i="29"/>
  <c r="H440" i="29" s="1"/>
  <c r="M34" i="5"/>
  <c r="F393" i="29"/>
  <c r="H393" i="29" s="1"/>
  <c r="F439" i="29"/>
  <c r="H439" i="29" s="1"/>
  <c r="AA200" i="5"/>
  <c r="F434" i="29"/>
  <c r="H434" i="29" s="1"/>
  <c r="F380" i="29"/>
  <c r="H380" i="29" s="1"/>
  <c r="F138" i="29"/>
  <c r="H138" i="29" s="1"/>
  <c r="AA202" i="5"/>
  <c r="F263" i="29"/>
  <c r="H263" i="29" s="1"/>
  <c r="F133" i="29"/>
  <c r="H133" i="29" s="1"/>
  <c r="AA127" i="5"/>
  <c r="AA135" i="5"/>
  <c r="M25" i="5"/>
  <c r="F389" i="29"/>
  <c r="H389" i="29" s="1"/>
  <c r="AA197" i="5"/>
  <c r="L34" i="5"/>
  <c r="AA26" i="5"/>
  <c r="F165" i="29"/>
  <c r="H165" i="29" s="1"/>
  <c r="F306" i="29"/>
  <c r="H306" i="29" s="1"/>
  <c r="F36" i="29"/>
  <c r="H36" i="29" s="1"/>
  <c r="L14" i="5"/>
  <c r="F17" i="29"/>
  <c r="H17" i="29" s="1"/>
  <c r="AA62" i="5"/>
  <c r="F56" i="29"/>
  <c r="H56" i="29" s="1"/>
  <c r="F271" i="29"/>
  <c r="H271" i="29" s="1"/>
  <c r="AA312" i="5"/>
  <c r="F117" i="29"/>
  <c r="H117" i="29" s="1"/>
  <c r="F377" i="29"/>
  <c r="H377" i="29" s="1"/>
  <c r="F44" i="29"/>
  <c r="H44" i="29" s="1"/>
  <c r="F90" i="29"/>
  <c r="H90" i="29" s="1"/>
  <c r="F115" i="29"/>
  <c r="H115" i="29" s="1"/>
  <c r="F370" i="29"/>
  <c r="H370" i="29" s="1"/>
  <c r="F262" i="29"/>
  <c r="H262" i="29" s="1"/>
  <c r="F33" i="29"/>
  <c r="H33" i="29" s="1"/>
  <c r="F64" i="29"/>
  <c r="H64" i="29" s="1"/>
  <c r="F107" i="29"/>
  <c r="H107" i="29" s="1"/>
  <c r="F89" i="29"/>
  <c r="H89" i="29" s="1"/>
  <c r="AA225" i="5"/>
  <c r="F15" i="29"/>
  <c r="H15" i="29" s="1"/>
  <c r="F95" i="29"/>
  <c r="H95" i="29" s="1"/>
  <c r="F34" i="29"/>
  <c r="H34" i="29" s="1"/>
  <c r="F148" i="29"/>
  <c r="H148" i="29" s="1"/>
  <c r="F27" i="29"/>
  <c r="H27" i="29" s="1"/>
  <c r="F71" i="29"/>
  <c r="H71" i="29" s="1"/>
  <c r="F469" i="29"/>
  <c r="H469" i="29" s="1"/>
  <c r="F471" i="29"/>
  <c r="H471" i="29" s="1"/>
  <c r="F470" i="29"/>
  <c r="H470" i="29" s="1"/>
  <c r="F472" i="29"/>
  <c r="H472" i="29" s="1"/>
  <c r="F473" i="29"/>
  <c r="H473" i="29" s="1"/>
  <c r="AA276" i="5"/>
  <c r="F227" i="29"/>
  <c r="H227" i="29" s="1"/>
  <c r="F288" i="29"/>
  <c r="H288" i="29" s="1"/>
  <c r="M41" i="5"/>
  <c r="AA237" i="5"/>
  <c r="N28" i="5"/>
  <c r="AA158" i="5"/>
  <c r="F158" i="29"/>
  <c r="H158" i="29" s="1"/>
  <c r="F299" i="29"/>
  <c r="H299" i="29" s="1"/>
  <c r="F151" i="29"/>
  <c r="H151" i="29" s="1"/>
  <c r="AA10" i="5"/>
  <c r="F295" i="29"/>
  <c r="H295" i="29" s="1"/>
  <c r="F373" i="29"/>
  <c r="H373" i="29" s="1"/>
  <c r="F412" i="29"/>
  <c r="H412" i="29" s="1"/>
  <c r="AA183" i="5"/>
  <c r="M32" i="5"/>
  <c r="F289" i="29"/>
  <c r="H289" i="29" s="1"/>
  <c r="AA238" i="5"/>
  <c r="F504" i="29"/>
  <c r="H504" i="29" s="1"/>
  <c r="AA201" i="5"/>
  <c r="F500" i="29"/>
  <c r="H500" i="29" s="1"/>
  <c r="F501" i="29"/>
  <c r="H501" i="29" s="1"/>
  <c r="F502" i="29"/>
  <c r="H502" i="29" s="1"/>
  <c r="F503" i="29"/>
  <c r="H503" i="29" s="1"/>
  <c r="F257" i="29"/>
  <c r="H257" i="29" s="1"/>
  <c r="F266" i="29"/>
  <c r="H266" i="29" s="1"/>
  <c r="AA172" i="5"/>
  <c r="F436" i="29"/>
  <c r="H436" i="29" s="1"/>
  <c r="F160" i="29"/>
  <c r="H160" i="29" s="1"/>
  <c r="M4" i="5"/>
  <c r="F301" i="29"/>
  <c r="H301" i="29" s="1"/>
  <c r="F153" i="29"/>
  <c r="H153" i="29" s="1"/>
  <c r="F282" i="29"/>
  <c r="H282" i="29" s="1"/>
  <c r="F164" i="29"/>
  <c r="H164" i="29" s="1"/>
  <c r="AA12" i="5"/>
  <c r="AA281" i="5"/>
  <c r="F417" i="29"/>
  <c r="H417" i="29" s="1"/>
  <c r="F68" i="29"/>
  <c r="H68" i="29" s="1"/>
  <c r="M47" i="5"/>
  <c r="F80" i="29"/>
  <c r="H80" i="29" s="1"/>
  <c r="F537" i="29"/>
  <c r="H537" i="29" s="1"/>
  <c r="AA45" i="5"/>
  <c r="F536" i="29"/>
  <c r="H536" i="29" s="1"/>
  <c r="N10" i="5"/>
  <c r="AA272" i="5"/>
  <c r="N46" i="5"/>
  <c r="L23" i="5"/>
  <c r="F11" i="29"/>
  <c r="H11" i="29" s="1"/>
  <c r="F122" i="29"/>
  <c r="H122" i="29" s="1"/>
  <c r="F37" i="29"/>
  <c r="H37" i="29" s="1"/>
  <c r="AA114" i="5"/>
  <c r="F191" i="29"/>
  <c r="H191" i="29" s="1"/>
  <c r="F197" i="29"/>
  <c r="H197" i="29" s="1"/>
  <c r="F179" i="29"/>
  <c r="H179" i="29" s="1"/>
  <c r="F185" i="29"/>
  <c r="H185" i="29" s="1"/>
  <c r="F54" i="29"/>
  <c r="H54" i="29" s="1"/>
  <c r="F21" i="29"/>
  <c r="H21" i="29" s="1"/>
  <c r="AA298" i="5"/>
  <c r="F349" i="29"/>
  <c r="H349" i="29" s="1"/>
  <c r="AA36" i="5"/>
  <c r="F308" i="29"/>
  <c r="H308" i="29" s="1"/>
  <c r="F167" i="29"/>
  <c r="H167" i="29" s="1"/>
  <c r="L8" i="5"/>
  <c r="AA33" i="5"/>
  <c r="F310" i="29"/>
  <c r="H310" i="29" s="1"/>
  <c r="F136" i="29"/>
  <c r="H136" i="29" s="1"/>
  <c r="AA134" i="5"/>
  <c r="AA143" i="5"/>
  <c r="M27" i="5"/>
  <c r="F352" i="29"/>
  <c r="H352" i="29" s="1"/>
  <c r="F347" i="29"/>
  <c r="H347" i="29" s="1"/>
  <c r="F343" i="29"/>
  <c r="H343" i="29" s="1"/>
  <c r="F339" i="29"/>
  <c r="H339" i="29" s="1"/>
  <c r="F357" i="29"/>
  <c r="H357" i="29" s="1"/>
  <c r="F332" i="29"/>
  <c r="H332" i="29" s="1"/>
  <c r="F361" i="29"/>
  <c r="H361" i="29" s="1"/>
  <c r="AA241" i="5"/>
  <c r="F241" i="29"/>
  <c r="H241" i="29" s="1"/>
  <c r="F278" i="29"/>
  <c r="H278" i="29" s="1"/>
  <c r="AA79" i="5"/>
  <c r="F212" i="29"/>
  <c r="H212" i="29" s="1"/>
  <c r="F451" i="29"/>
  <c r="H451" i="29" s="1"/>
  <c r="F452" i="29"/>
  <c r="H452" i="29" s="1"/>
  <c r="F450" i="29"/>
  <c r="H450" i="29" s="1"/>
  <c r="AA64" i="5"/>
  <c r="F415" i="29"/>
  <c r="H415" i="29" s="1"/>
  <c r="F67" i="29"/>
  <c r="H67" i="29" s="1"/>
  <c r="AA278" i="5"/>
  <c r="F79" i="29"/>
  <c r="H79" i="29" s="1"/>
  <c r="F139" i="29"/>
  <c r="H139" i="29" s="1"/>
  <c r="F253" i="29"/>
  <c r="H253" i="29" s="1"/>
  <c r="F264" i="29"/>
  <c r="H264" i="29" s="1"/>
  <c r="AA167" i="5"/>
  <c r="F131" i="29"/>
  <c r="H131" i="29" s="1"/>
  <c r="AA125" i="5"/>
  <c r="F23" i="29"/>
  <c r="H23" i="29" s="1"/>
  <c r="AA115" i="5"/>
  <c r="F123" i="29"/>
  <c r="H123" i="29" s="1"/>
  <c r="F28" i="29"/>
  <c r="H28" i="29" s="1"/>
  <c r="F100" i="29"/>
  <c r="H100" i="29" s="1"/>
  <c r="AA224" i="5"/>
  <c r="M38" i="5"/>
  <c r="F14" i="29"/>
  <c r="H14" i="29" s="1"/>
  <c r="AA120" i="5"/>
  <c r="F128" i="29"/>
  <c r="H128" i="29" s="1"/>
  <c r="F32" i="29"/>
  <c r="H32" i="29" s="1"/>
  <c r="F45" i="29"/>
  <c r="H45" i="29" s="1"/>
  <c r="N23" i="5"/>
  <c r="F26" i="29"/>
  <c r="H26" i="29" s="1"/>
  <c r="F196" i="29"/>
  <c r="H196" i="29" s="1"/>
  <c r="F178" i="29"/>
  <c r="H178" i="29" s="1"/>
  <c r="F184" i="29"/>
  <c r="H184" i="29" s="1"/>
  <c r="F53" i="29"/>
  <c r="H53" i="29" s="1"/>
  <c r="F371" i="29"/>
  <c r="H371" i="29" s="1"/>
  <c r="AA297" i="5"/>
  <c r="L50" i="5"/>
  <c r="F20" i="29"/>
  <c r="H20" i="29" s="1"/>
  <c r="F190" i="29"/>
  <c r="H190" i="29" s="1"/>
  <c r="N53" i="5"/>
  <c r="AA318" i="5"/>
  <c r="M28" i="5"/>
  <c r="AA152" i="5"/>
  <c r="F51" i="29"/>
  <c r="H51" i="29" s="1"/>
  <c r="AA179" i="5"/>
  <c r="N30" i="5"/>
  <c r="F16" i="29"/>
  <c r="H16" i="29" s="1"/>
  <c r="F2" i="29"/>
  <c r="H2" i="29" s="1"/>
  <c r="F35" i="29"/>
  <c r="H35" i="29" s="1"/>
  <c r="AA56" i="5"/>
  <c r="L13" i="5"/>
  <c r="F6" i="29"/>
  <c r="H6" i="29" s="1"/>
  <c r="F76" i="29"/>
  <c r="H76" i="29" s="1"/>
  <c r="AA265" i="5"/>
  <c r="F81" i="29"/>
  <c r="H81" i="29" s="1"/>
  <c r="L46" i="5"/>
  <c r="O5" i="5" l="1"/>
  <c r="Y17" i="5" s="1"/>
  <c r="AB17" i="5" s="1"/>
  <c r="O35" i="5"/>
  <c r="O14" i="5"/>
  <c r="M20" i="32" s="1"/>
  <c r="O38" i="5"/>
  <c r="E17" i="34" s="1"/>
  <c r="O16" i="5"/>
  <c r="O11" i="5"/>
  <c r="O51" i="5"/>
  <c r="Y308" i="5" s="1"/>
  <c r="AB308" i="5" s="1"/>
  <c r="O48" i="5"/>
  <c r="E40" i="34" s="1"/>
  <c r="O25" i="5"/>
  <c r="Y136" i="5" s="1"/>
  <c r="AB136" i="5" s="1"/>
  <c r="O33" i="5"/>
  <c r="Y188" i="5" s="1"/>
  <c r="AB188" i="5" s="1"/>
  <c r="O23" i="5"/>
  <c r="Y114" i="5" s="1"/>
  <c r="AB114" i="5" s="1"/>
  <c r="O29" i="5"/>
  <c r="Y169" i="5" s="1"/>
  <c r="AB169" i="5" s="1"/>
  <c r="O39" i="5"/>
  <c r="M17" i="32" s="1"/>
  <c r="O8" i="5"/>
  <c r="I7" i="8"/>
  <c r="O41" i="5"/>
  <c r="O4" i="5"/>
  <c r="O30" i="5"/>
  <c r="O53" i="5"/>
  <c r="O46" i="5"/>
  <c r="O13" i="5"/>
  <c r="O34" i="5"/>
  <c r="O52" i="5"/>
  <c r="O27" i="5"/>
  <c r="O28" i="5"/>
  <c r="O37" i="5"/>
  <c r="O47" i="5"/>
  <c r="W2" i="29"/>
  <c r="V2" i="29" s="1"/>
  <c r="P9" i="24" s="1"/>
  <c r="T64" i="29"/>
  <c r="S64" i="29" s="1"/>
  <c r="N71" i="24" s="1"/>
  <c r="W26" i="29"/>
  <c r="V26" i="29" s="1"/>
  <c r="P33" i="24" s="1"/>
  <c r="Q77" i="29"/>
  <c r="T89" i="29"/>
  <c r="S89" i="29" s="1"/>
  <c r="N96" i="24" s="1"/>
  <c r="W7" i="29"/>
  <c r="T77" i="29"/>
  <c r="S77" i="29" s="1"/>
  <c r="N84" i="24" s="1"/>
  <c r="W12" i="29"/>
  <c r="V12" i="29" s="1"/>
  <c r="P19" i="24" s="1"/>
  <c r="Q19" i="29"/>
  <c r="Q59" i="29"/>
  <c r="W17" i="29"/>
  <c r="V17" i="29" s="1"/>
  <c r="P24" i="24" s="1"/>
  <c r="T86" i="29"/>
  <c r="S86" i="29" s="1"/>
  <c r="N93" i="24" s="1"/>
  <c r="W21" i="29"/>
  <c r="V21" i="29" s="1"/>
  <c r="P28" i="24" s="1"/>
  <c r="T88" i="29"/>
  <c r="S88" i="29" s="1"/>
  <c r="N95" i="24" s="1"/>
  <c r="W63" i="29"/>
  <c r="V63" i="29" s="1"/>
  <c r="P70" i="24" s="1"/>
  <c r="Q86" i="29"/>
  <c r="W106" i="29"/>
  <c r="V106" i="29" s="1"/>
  <c r="P113" i="24" s="1"/>
  <c r="T59" i="29"/>
  <c r="S59" i="29" s="1"/>
  <c r="N66" i="24" s="1"/>
  <c r="T4" i="29"/>
  <c r="S4" i="29" s="1"/>
  <c r="N11" i="24" s="1"/>
  <c r="T12" i="29"/>
  <c r="S12" i="29" s="1"/>
  <c r="N19" i="24" s="1"/>
  <c r="Q74" i="29"/>
  <c r="Q100" i="29"/>
  <c r="T14" i="29"/>
  <c r="S14" i="29" s="1"/>
  <c r="N21" i="24" s="1"/>
  <c r="W39" i="29"/>
  <c r="V39" i="29" s="1"/>
  <c r="P46" i="24" s="1"/>
  <c r="T47" i="29"/>
  <c r="S47" i="29" s="1"/>
  <c r="N54" i="24" s="1"/>
  <c r="T81" i="29"/>
  <c r="S81" i="29" s="1"/>
  <c r="N88" i="24" s="1"/>
  <c r="T78" i="29"/>
  <c r="S78" i="29" s="1"/>
  <c r="N85" i="24" s="1"/>
  <c r="W57" i="29"/>
  <c r="V57" i="29" s="1"/>
  <c r="P64" i="24" s="1"/>
  <c r="Q44" i="29"/>
  <c r="W11" i="29"/>
  <c r="V11" i="29" s="1"/>
  <c r="P18" i="24" s="1"/>
  <c r="Q82" i="29"/>
  <c r="T32" i="29"/>
  <c r="S32" i="29" s="1"/>
  <c r="N39" i="24" s="1"/>
  <c r="T85" i="29"/>
  <c r="S85" i="29" s="1"/>
  <c r="N92" i="24" s="1"/>
  <c r="T40" i="29"/>
  <c r="S40" i="29" s="1"/>
  <c r="N47" i="24" s="1"/>
  <c r="W107" i="29"/>
  <c r="V107" i="29" s="1"/>
  <c r="P114" i="24" s="1"/>
  <c r="Q109" i="29"/>
  <c r="W6" i="29"/>
  <c r="V6" i="29" s="1"/>
  <c r="P13" i="24" s="1"/>
  <c r="Q22" i="29"/>
  <c r="T27" i="29"/>
  <c r="S27" i="29" s="1"/>
  <c r="N34" i="24" s="1"/>
  <c r="W88" i="29"/>
  <c r="Q26" i="29"/>
  <c r="Q89" i="29"/>
  <c r="Q53" i="29"/>
  <c r="Q27" i="29"/>
  <c r="T58" i="29"/>
  <c r="S58" i="29" s="1"/>
  <c r="N65" i="24" s="1"/>
  <c r="T5" i="29"/>
  <c r="S5" i="29" s="1"/>
  <c r="N12" i="24" s="1"/>
  <c r="T83" i="29"/>
  <c r="S83" i="29" s="1"/>
  <c r="N90" i="24" s="1"/>
  <c r="Q87" i="29"/>
  <c r="Q84" i="29"/>
  <c r="Q50" i="29"/>
  <c r="W20" i="29"/>
  <c r="V20" i="29" s="1"/>
  <c r="P27" i="24" s="1"/>
  <c r="Q104" i="29"/>
  <c r="T34" i="29"/>
  <c r="S34" i="29" s="1"/>
  <c r="N41" i="24" s="1"/>
  <c r="W38" i="29"/>
  <c r="V38" i="29" s="1"/>
  <c r="P45" i="24" s="1"/>
  <c r="T43" i="29"/>
  <c r="S43" i="29" s="1"/>
  <c r="N50" i="24" s="1"/>
  <c r="W97" i="29"/>
  <c r="V97" i="29" s="1"/>
  <c r="P104" i="24" s="1"/>
  <c r="T44" i="29"/>
  <c r="S44" i="29" s="1"/>
  <c r="N51" i="24" s="1"/>
  <c r="Q38" i="29"/>
  <c r="T15" i="29"/>
  <c r="S15" i="29" s="1"/>
  <c r="N22" i="24" s="1"/>
  <c r="Q40" i="29"/>
  <c r="T96" i="29"/>
  <c r="S96" i="29" s="1"/>
  <c r="N103" i="24" s="1"/>
  <c r="T7" i="29"/>
  <c r="S7" i="29" s="1"/>
  <c r="N14" i="24" s="1"/>
  <c r="Q76" i="29"/>
  <c r="T17" i="29"/>
  <c r="S17" i="29" s="1"/>
  <c r="N24" i="24" s="1"/>
  <c r="W99" i="29"/>
  <c r="Q62" i="29"/>
  <c r="W67" i="29"/>
  <c r="V67" i="29" s="1"/>
  <c r="P74" i="24" s="1"/>
  <c r="T31" i="29"/>
  <c r="S31" i="29" s="1"/>
  <c r="N38" i="24" s="1"/>
  <c r="T61" i="29"/>
  <c r="S61" i="29" s="1"/>
  <c r="N68" i="24" s="1"/>
  <c r="T66" i="29"/>
  <c r="S66" i="29" s="1"/>
  <c r="N73" i="24" s="1"/>
  <c r="W50" i="29"/>
  <c r="W56" i="29"/>
  <c r="V56" i="29" s="1"/>
  <c r="P63" i="24" s="1"/>
  <c r="W73" i="29"/>
  <c r="V73" i="29" s="1"/>
  <c r="P80" i="24" s="1"/>
  <c r="Q25" i="29"/>
  <c r="Q10" i="29"/>
  <c r="Q49" i="29"/>
  <c r="W30" i="29"/>
  <c r="V30" i="29" s="1"/>
  <c r="P37" i="24" s="1"/>
  <c r="W66" i="29"/>
  <c r="V66" i="29" s="1"/>
  <c r="P73" i="24" s="1"/>
  <c r="W87" i="29"/>
  <c r="V87" i="29" s="1"/>
  <c r="P94" i="24" s="1"/>
  <c r="W45" i="29"/>
  <c r="V45" i="29" s="1"/>
  <c r="P52" i="24" s="1"/>
  <c r="W105" i="29"/>
  <c r="V105" i="29" s="1"/>
  <c r="P112" i="24" s="1"/>
  <c r="Q14" i="29"/>
  <c r="W19" i="29"/>
  <c r="V19" i="29" s="1"/>
  <c r="P26" i="24" s="1"/>
  <c r="W27" i="29"/>
  <c r="V27" i="29" s="1"/>
  <c r="P34" i="24" s="1"/>
  <c r="T36" i="29"/>
  <c r="S36" i="29" s="1"/>
  <c r="N43" i="24" s="1"/>
  <c r="W34" i="29"/>
  <c r="Q58" i="29"/>
  <c r="W100" i="29"/>
  <c r="Q12" i="29"/>
  <c r="Q13" i="29"/>
  <c r="T70" i="29"/>
  <c r="T107" i="29"/>
  <c r="S107" i="29" s="1"/>
  <c r="N114" i="24" s="1"/>
  <c r="W91" i="29"/>
  <c r="V91" i="29" s="1"/>
  <c r="P98" i="24" s="1"/>
  <c r="W23" i="29"/>
  <c r="V23" i="29" s="1"/>
  <c r="P30" i="24" s="1"/>
  <c r="W43" i="29"/>
  <c r="V43" i="29" s="1"/>
  <c r="P50" i="24" s="1"/>
  <c r="Q15" i="29"/>
  <c r="W9" i="29"/>
  <c r="V9" i="29" s="1"/>
  <c r="P16" i="24" s="1"/>
  <c r="W93" i="29"/>
  <c r="V93" i="29" s="1"/>
  <c r="P100" i="24" s="1"/>
  <c r="W108" i="29"/>
  <c r="T37" i="29"/>
  <c r="S37" i="29" s="1"/>
  <c r="N44" i="24" s="1"/>
  <c r="W90" i="29"/>
  <c r="V90" i="29" s="1"/>
  <c r="P97" i="24" s="1"/>
  <c r="W95" i="29"/>
  <c r="V95" i="29" s="1"/>
  <c r="P102" i="24" s="1"/>
  <c r="T52" i="29"/>
  <c r="S52" i="29" s="1"/>
  <c r="N59" i="24" s="1"/>
  <c r="W79" i="29"/>
  <c r="V79" i="29" s="1"/>
  <c r="P86" i="24" s="1"/>
  <c r="Q101" i="29"/>
  <c r="Q96" i="29"/>
  <c r="T53" i="29"/>
  <c r="S53" i="29" s="1"/>
  <c r="N60" i="24" s="1"/>
  <c r="W80" i="29"/>
  <c r="V80" i="29" s="1"/>
  <c r="P87" i="24" s="1"/>
  <c r="Q43" i="29"/>
  <c r="T105" i="29"/>
  <c r="T67" i="29"/>
  <c r="S67" i="29" s="1"/>
  <c r="N74" i="24" s="1"/>
  <c r="Q3" i="29"/>
  <c r="Q63" i="29"/>
  <c r="Q68" i="29"/>
  <c r="T68" i="29"/>
  <c r="S68" i="29" s="1"/>
  <c r="N75" i="24" s="1"/>
  <c r="W61" i="29"/>
  <c r="V61" i="29" s="1"/>
  <c r="P68" i="24" s="1"/>
  <c r="W25" i="29"/>
  <c r="V25" i="29" s="1"/>
  <c r="P32" i="24" s="1"/>
  <c r="T54" i="29"/>
  <c r="S54" i="29" s="1"/>
  <c r="N61" i="24" s="1"/>
  <c r="Q108" i="29"/>
  <c r="T95" i="29"/>
  <c r="S95" i="29" s="1"/>
  <c r="N102" i="24" s="1"/>
  <c r="Q31" i="29"/>
  <c r="T18" i="29"/>
  <c r="S18" i="29" s="1"/>
  <c r="N25" i="24" s="1"/>
  <c r="Q2" i="29"/>
  <c r="W31" i="29"/>
  <c r="V31" i="29" s="1"/>
  <c r="P38" i="24" s="1"/>
  <c r="W4" i="29"/>
  <c r="V4" i="29" s="1"/>
  <c r="P11" i="24" s="1"/>
  <c r="W37" i="29"/>
  <c r="V37" i="29" s="1"/>
  <c r="P44" i="24" s="1"/>
  <c r="Q39" i="29"/>
  <c r="T63" i="29"/>
  <c r="S63" i="29" s="1"/>
  <c r="N70" i="24" s="1"/>
  <c r="Q57" i="29"/>
  <c r="T71" i="29"/>
  <c r="S71" i="29" s="1"/>
  <c r="N78" i="24" s="1"/>
  <c r="W28" i="29"/>
  <c r="V28" i="29" s="1"/>
  <c r="P35" i="24" s="1"/>
  <c r="W84" i="29"/>
  <c r="V84" i="29" s="1"/>
  <c r="P91" i="24" s="1"/>
  <c r="Q35" i="29"/>
  <c r="Q107" i="29"/>
  <c r="T21" i="29"/>
  <c r="S21" i="29" s="1"/>
  <c r="N28" i="24" s="1"/>
  <c r="Q94" i="29"/>
  <c r="W53" i="29"/>
  <c r="V53" i="29" s="1"/>
  <c r="P60" i="24" s="1"/>
  <c r="Q95" i="29"/>
  <c r="Q75" i="29"/>
  <c r="Q83" i="29"/>
  <c r="T104" i="29"/>
  <c r="S104" i="29" s="1"/>
  <c r="N111" i="24" s="1"/>
  <c r="Q79" i="29"/>
  <c r="Q36" i="29"/>
  <c r="Q42" i="29"/>
  <c r="T28" i="29"/>
  <c r="S28" i="29" s="1"/>
  <c r="N35" i="24" s="1"/>
  <c r="T42" i="29"/>
  <c r="S42" i="29" s="1"/>
  <c r="N49" i="24" s="1"/>
  <c r="T25" i="29"/>
  <c r="S25" i="29" s="1"/>
  <c r="N32" i="24" s="1"/>
  <c r="W46" i="29"/>
  <c r="V46" i="29" s="1"/>
  <c r="P53" i="24" s="1"/>
  <c r="Q47" i="29"/>
  <c r="W29" i="29"/>
  <c r="V29" i="29" s="1"/>
  <c r="P36" i="24" s="1"/>
  <c r="T99" i="29"/>
  <c r="Q4" i="29"/>
  <c r="W8" i="29"/>
  <c r="V8" i="29" s="1"/>
  <c r="P15" i="24" s="1"/>
  <c r="Q66" i="29"/>
  <c r="W98" i="29"/>
  <c r="V98" i="29" s="1"/>
  <c r="P105" i="24" s="1"/>
  <c r="T9" i="29"/>
  <c r="S9" i="29" s="1"/>
  <c r="N16" i="24" s="1"/>
  <c r="T39" i="29"/>
  <c r="S39" i="29" s="1"/>
  <c r="N46" i="24" s="1"/>
  <c r="W89" i="29"/>
  <c r="T79" i="29"/>
  <c r="S79" i="29" s="1"/>
  <c r="N86" i="24" s="1"/>
  <c r="W75" i="29"/>
  <c r="V75" i="29" s="1"/>
  <c r="P82" i="24" s="1"/>
  <c r="W81" i="29"/>
  <c r="V81" i="29" s="1"/>
  <c r="P88" i="24" s="1"/>
  <c r="W70" i="29"/>
  <c r="T98" i="29"/>
  <c r="S98" i="29" s="1"/>
  <c r="N105" i="24" s="1"/>
  <c r="W69" i="29"/>
  <c r="V69" i="29" s="1"/>
  <c r="P76" i="24" s="1"/>
  <c r="Q99" i="29"/>
  <c r="W48" i="29"/>
  <c r="V48" i="29" s="1"/>
  <c r="P55" i="24" s="1"/>
  <c r="T92" i="29"/>
  <c r="S92" i="29" s="1"/>
  <c r="N99" i="24" s="1"/>
  <c r="Q91" i="29"/>
  <c r="T8" i="29"/>
  <c r="S8" i="29" s="1"/>
  <c r="N15" i="24" s="1"/>
  <c r="W24" i="29"/>
  <c r="V24" i="29" s="1"/>
  <c r="P31" i="24" s="1"/>
  <c r="Q64" i="29"/>
  <c r="W92" i="29"/>
  <c r="Q93" i="29"/>
  <c r="T74" i="29"/>
  <c r="S74" i="29" s="1"/>
  <c r="N81" i="24" s="1"/>
  <c r="W55" i="29"/>
  <c r="V55" i="29" s="1"/>
  <c r="P62" i="24" s="1"/>
  <c r="Q56" i="29"/>
  <c r="T46" i="29"/>
  <c r="S46" i="29" s="1"/>
  <c r="N53" i="24" s="1"/>
  <c r="W36" i="29"/>
  <c r="W96" i="29"/>
  <c r="V96" i="29" s="1"/>
  <c r="P103" i="24" s="1"/>
  <c r="T16" i="29"/>
  <c r="S16" i="29" s="1"/>
  <c r="N23" i="24" s="1"/>
  <c r="T24" i="29"/>
  <c r="S24" i="29" s="1"/>
  <c r="N31" i="24" s="1"/>
  <c r="Q34" i="29"/>
  <c r="Q20" i="29"/>
  <c r="T49" i="29"/>
  <c r="S49" i="29" s="1"/>
  <c r="N56" i="24" s="1"/>
  <c r="Q8" i="29"/>
  <c r="Q102" i="29"/>
  <c r="T23" i="29"/>
  <c r="S23" i="29" s="1"/>
  <c r="N30" i="24" s="1"/>
  <c r="T30" i="29"/>
  <c r="S30" i="29" s="1"/>
  <c r="N37" i="24" s="1"/>
  <c r="Q90" i="29"/>
  <c r="T75" i="29"/>
  <c r="S75" i="29" s="1"/>
  <c r="N82" i="24" s="1"/>
  <c r="W94" i="29"/>
  <c r="V94" i="29" s="1"/>
  <c r="P101" i="24" s="1"/>
  <c r="Q98" i="29"/>
  <c r="W41" i="29"/>
  <c r="V41" i="29" s="1"/>
  <c r="P48" i="24" s="1"/>
  <c r="Q85" i="29"/>
  <c r="Q5" i="29"/>
  <c r="W68" i="29"/>
  <c r="V68" i="29" s="1"/>
  <c r="P75" i="24" s="1"/>
  <c r="Q103" i="29"/>
  <c r="Q48" i="29"/>
  <c r="T62" i="29"/>
  <c r="S62" i="29" s="1"/>
  <c r="N69" i="24" s="1"/>
  <c r="W72" i="29"/>
  <c r="V72" i="29" s="1"/>
  <c r="P79" i="24" s="1"/>
  <c r="W62" i="29"/>
  <c r="V62" i="29" s="1"/>
  <c r="P69" i="24" s="1"/>
  <c r="Q30" i="29"/>
  <c r="T69" i="29"/>
  <c r="S69" i="29" s="1"/>
  <c r="N76" i="24" s="1"/>
  <c r="T6" i="29"/>
  <c r="S6" i="29" s="1"/>
  <c r="N13" i="24" s="1"/>
  <c r="W58" i="29"/>
  <c r="V58" i="29" s="1"/>
  <c r="P65" i="24" s="1"/>
  <c r="T100" i="29"/>
  <c r="Q29" i="29"/>
  <c r="Q21" i="29"/>
  <c r="W101" i="29"/>
  <c r="V101" i="29" s="1"/>
  <c r="P108" i="24" s="1"/>
  <c r="T56" i="29"/>
  <c r="S56" i="29" s="1"/>
  <c r="N63" i="24" s="1"/>
  <c r="Q80" i="29"/>
  <c r="T19" i="29"/>
  <c r="S19" i="29" s="1"/>
  <c r="N26" i="24" s="1"/>
  <c r="W82" i="29"/>
  <c r="V82" i="29" s="1"/>
  <c r="P89" i="24" s="1"/>
  <c r="Q72" i="29"/>
  <c r="T48" i="29"/>
  <c r="S48" i="29" s="1"/>
  <c r="N55" i="24" s="1"/>
  <c r="W42" i="29"/>
  <c r="V42" i="29" s="1"/>
  <c r="P49" i="24" s="1"/>
  <c r="W77" i="29"/>
  <c r="V77" i="29" s="1"/>
  <c r="P84" i="24" s="1"/>
  <c r="W76" i="29"/>
  <c r="V76" i="29" s="1"/>
  <c r="P83" i="24" s="1"/>
  <c r="T11" i="29"/>
  <c r="S11" i="29" s="1"/>
  <c r="N18" i="24" s="1"/>
  <c r="W51" i="29"/>
  <c r="V51" i="29" s="1"/>
  <c r="P58" i="24" s="1"/>
  <c r="W15" i="29"/>
  <c r="V15" i="29" s="1"/>
  <c r="P22" i="24" s="1"/>
  <c r="W47" i="29"/>
  <c r="V47" i="29" s="1"/>
  <c r="P54" i="24" s="1"/>
  <c r="Q37" i="29"/>
  <c r="T22" i="29"/>
  <c r="S22" i="29" s="1"/>
  <c r="N29" i="24" s="1"/>
  <c r="Q28" i="29"/>
  <c r="W65" i="29"/>
  <c r="V65" i="29" s="1"/>
  <c r="P72" i="24" s="1"/>
  <c r="T97" i="29"/>
  <c r="S97" i="29" s="1"/>
  <c r="N104" i="24" s="1"/>
  <c r="T51" i="29"/>
  <c r="S51" i="29" s="1"/>
  <c r="N58" i="24" s="1"/>
  <c r="W33" i="29"/>
  <c r="V33" i="29" s="1"/>
  <c r="P40" i="24" s="1"/>
  <c r="T33" i="29"/>
  <c r="S33" i="29" s="1"/>
  <c r="N40" i="24" s="1"/>
  <c r="Q46" i="29"/>
  <c r="W78" i="29"/>
  <c r="V78" i="29" s="1"/>
  <c r="P85" i="24" s="1"/>
  <c r="T65" i="29"/>
  <c r="S65" i="29" s="1"/>
  <c r="N72" i="24" s="1"/>
  <c r="Q32" i="29"/>
  <c r="T73" i="29"/>
  <c r="S73" i="29" s="1"/>
  <c r="N80" i="24" s="1"/>
  <c r="W83" i="29"/>
  <c r="V83" i="29" s="1"/>
  <c r="P90" i="24" s="1"/>
  <c r="W16" i="29"/>
  <c r="V16" i="29" s="1"/>
  <c r="P23" i="24" s="1"/>
  <c r="T102" i="29"/>
  <c r="T84" i="29"/>
  <c r="S84" i="29" s="1"/>
  <c r="N91" i="24" s="1"/>
  <c r="Q16" i="29"/>
  <c r="W49" i="29"/>
  <c r="V49" i="29" s="1"/>
  <c r="P56" i="24" s="1"/>
  <c r="W10" i="29"/>
  <c r="V10" i="29" s="1"/>
  <c r="P17" i="24" s="1"/>
  <c r="Q78" i="29"/>
  <c r="W71" i="29"/>
  <c r="V71" i="29" s="1"/>
  <c r="P78" i="24" s="1"/>
  <c r="W104" i="29"/>
  <c r="V104" i="29" s="1"/>
  <c r="P111" i="24" s="1"/>
  <c r="Q9" i="29"/>
  <c r="Q54" i="29"/>
  <c r="Q52" i="29"/>
  <c r="W59" i="29"/>
  <c r="V59" i="29" s="1"/>
  <c r="P66" i="24" s="1"/>
  <c r="T106" i="29"/>
  <c r="T60" i="29"/>
  <c r="S60" i="29" s="1"/>
  <c r="N67" i="24" s="1"/>
  <c r="W102" i="29"/>
  <c r="V102" i="29" s="1"/>
  <c r="P109" i="24" s="1"/>
  <c r="T108" i="29"/>
  <c r="S108" i="29" s="1"/>
  <c r="N115" i="24" s="1"/>
  <c r="T87" i="29"/>
  <c r="S87" i="29" s="1"/>
  <c r="N94" i="24" s="1"/>
  <c r="T103" i="29"/>
  <c r="Q69" i="29"/>
  <c r="W85" i="29"/>
  <c r="V85" i="29" s="1"/>
  <c r="P92" i="24" s="1"/>
  <c r="T91" i="29"/>
  <c r="S91" i="29" s="1"/>
  <c r="N98" i="24" s="1"/>
  <c r="Q7" i="29"/>
  <c r="T3" i="29"/>
  <c r="S3" i="29" s="1"/>
  <c r="N10" i="24" s="1"/>
  <c r="T50" i="29"/>
  <c r="Q24" i="29"/>
  <c r="W60" i="29"/>
  <c r="V60" i="29" s="1"/>
  <c r="P67" i="24" s="1"/>
  <c r="T2" i="29"/>
  <c r="S2" i="29" s="1"/>
  <c r="N9" i="24" s="1"/>
  <c r="T41" i="29"/>
  <c r="S41" i="29" s="1"/>
  <c r="N48" i="24" s="1"/>
  <c r="Q106" i="29"/>
  <c r="T55" i="29"/>
  <c r="Q88" i="29"/>
  <c r="Q97" i="29"/>
  <c r="T13" i="29"/>
  <c r="S13" i="29" s="1"/>
  <c r="N20" i="24" s="1"/>
  <c r="T93" i="29"/>
  <c r="S93" i="29" s="1"/>
  <c r="N100" i="24" s="1"/>
  <c r="T72" i="29"/>
  <c r="S72" i="29" s="1"/>
  <c r="N79" i="24" s="1"/>
  <c r="Q17" i="29"/>
  <c r="Q81" i="29"/>
  <c r="W44" i="29"/>
  <c r="V44" i="29" s="1"/>
  <c r="P51" i="24" s="1"/>
  <c r="Q67" i="29"/>
  <c r="T26" i="29"/>
  <c r="S26" i="29" s="1"/>
  <c r="N33" i="24" s="1"/>
  <c r="Q33" i="29"/>
  <c r="T29" i="29"/>
  <c r="S29" i="29" s="1"/>
  <c r="N36" i="24" s="1"/>
  <c r="W13" i="29"/>
  <c r="V13" i="29" s="1"/>
  <c r="P20" i="24" s="1"/>
  <c r="Q71" i="29"/>
  <c r="W3" i="29"/>
  <c r="V3" i="29" s="1"/>
  <c r="P10" i="24" s="1"/>
  <c r="T35" i="29"/>
  <c r="S35" i="29" s="1"/>
  <c r="N42" i="24" s="1"/>
  <c r="Q73" i="29"/>
  <c r="W14" i="29"/>
  <c r="V14" i="29" s="1"/>
  <c r="P21" i="24" s="1"/>
  <c r="T101" i="29"/>
  <c r="S101" i="29" s="1"/>
  <c r="N108" i="24" s="1"/>
  <c r="W18" i="29"/>
  <c r="V18" i="29" s="1"/>
  <c r="P25" i="24" s="1"/>
  <c r="T109" i="29"/>
  <c r="S109" i="29" s="1"/>
  <c r="N116" i="24" s="1"/>
  <c r="W22" i="29"/>
  <c r="V22" i="29" s="1"/>
  <c r="P29" i="24" s="1"/>
  <c r="T38" i="29"/>
  <c r="S38" i="29" s="1"/>
  <c r="N45" i="24" s="1"/>
  <c r="W64" i="29"/>
  <c r="V64" i="29" s="1"/>
  <c r="P71" i="24" s="1"/>
  <c r="Q60" i="29"/>
  <c r="Q45" i="29"/>
  <c r="T80" i="29"/>
  <c r="S80" i="29" s="1"/>
  <c r="N87" i="24" s="1"/>
  <c r="W86" i="29"/>
  <c r="V86" i="29" s="1"/>
  <c r="P93" i="24" s="1"/>
  <c r="W32" i="29"/>
  <c r="V32" i="29" s="1"/>
  <c r="P39" i="24" s="1"/>
  <c r="W52" i="29"/>
  <c r="V52" i="29" s="1"/>
  <c r="P59" i="24" s="1"/>
  <c r="Q23" i="29"/>
  <c r="T82" i="29"/>
  <c r="S82" i="29" s="1"/>
  <c r="N89" i="24" s="1"/>
  <c r="Q105" i="29"/>
  <c r="T45" i="29"/>
  <c r="S45" i="29" s="1"/>
  <c r="N52" i="24" s="1"/>
  <c r="Q55" i="29"/>
  <c r="T90" i="29"/>
  <c r="S90" i="29" s="1"/>
  <c r="N97" i="24" s="1"/>
  <c r="Q70" i="29"/>
  <c r="Q41" i="29"/>
  <c r="W40" i="29"/>
  <c r="V40" i="29" s="1"/>
  <c r="P47" i="24" s="1"/>
  <c r="T20" i="29"/>
  <c r="S20" i="29" s="1"/>
  <c r="N27" i="24" s="1"/>
  <c r="Q11" i="29"/>
  <c r="T57" i="29"/>
  <c r="T10" i="29"/>
  <c r="S10" i="29" s="1"/>
  <c r="N17" i="24" s="1"/>
  <c r="T76" i="29"/>
  <c r="S76" i="29" s="1"/>
  <c r="N83" i="24" s="1"/>
  <c r="Q61" i="29"/>
  <c r="Q65" i="29"/>
  <c r="W35" i="29"/>
  <c r="V35" i="29" s="1"/>
  <c r="P42" i="24" s="1"/>
  <c r="W74" i="29"/>
  <c r="V74" i="29" s="1"/>
  <c r="P81" i="24" s="1"/>
  <c r="W5" i="29"/>
  <c r="V5" i="29" s="1"/>
  <c r="P12" i="24" s="1"/>
  <c r="Q51" i="29"/>
  <c r="Q92" i="29"/>
  <c r="T94" i="29"/>
  <c r="S94" i="29" s="1"/>
  <c r="N101" i="24" s="1"/>
  <c r="W54" i="29"/>
  <c r="V54" i="29" s="1"/>
  <c r="P61" i="24" s="1"/>
  <c r="Q6" i="29"/>
  <c r="Q18" i="29"/>
  <c r="W109" i="29"/>
  <c r="W103" i="29"/>
  <c r="V103" i="29" s="1"/>
  <c r="P110" i="24" s="1"/>
  <c r="O32" i="5"/>
  <c r="E29" i="34"/>
  <c r="I9" i="8"/>
  <c r="Y75" i="5"/>
  <c r="AB75" i="5" s="1"/>
  <c r="Y78" i="5"/>
  <c r="AB78" i="5" s="1"/>
  <c r="M22" i="32"/>
  <c r="Y77" i="5"/>
  <c r="AB77" i="5" s="1"/>
  <c r="Y79" i="5"/>
  <c r="AB79" i="5" s="1"/>
  <c r="Y76" i="5"/>
  <c r="AB76" i="5" s="1"/>
  <c r="Y74" i="5"/>
  <c r="AB74" i="5" s="1"/>
  <c r="E18" i="34"/>
  <c r="I8" i="1"/>
  <c r="Y235" i="5"/>
  <c r="AB235" i="5" s="1"/>
  <c r="Y229" i="5"/>
  <c r="AB229" i="5" s="1"/>
  <c r="Y233" i="5"/>
  <c r="AB233" i="5" s="1"/>
  <c r="O50" i="5"/>
  <c r="M41" i="32"/>
  <c r="Y210" i="5"/>
  <c r="AB210" i="5" s="1"/>
  <c r="Y213" i="5"/>
  <c r="AB213" i="5" s="1"/>
  <c r="Y211" i="5"/>
  <c r="AB211" i="5" s="1"/>
  <c r="H20" i="34"/>
  <c r="Y212" i="5"/>
  <c r="AB212" i="5" s="1"/>
  <c r="Y208" i="5"/>
  <c r="AB208" i="5" s="1"/>
  <c r="Y207" i="5"/>
  <c r="AB207" i="5" s="1"/>
  <c r="Y209" i="5"/>
  <c r="AB209" i="5" s="1"/>
  <c r="I9" i="18"/>
  <c r="O3" i="5"/>
  <c r="O10" i="5"/>
  <c r="H34" i="34"/>
  <c r="Y49" i="5"/>
  <c r="AB49" i="5" s="1"/>
  <c r="Y52" i="5"/>
  <c r="AB52" i="5" s="1"/>
  <c r="Y50" i="5"/>
  <c r="AB50" i="5" s="1"/>
  <c r="Y55" i="5"/>
  <c r="AB55" i="5" s="1"/>
  <c r="O43" i="5"/>
  <c r="O24" i="5"/>
  <c r="O17" i="5"/>
  <c r="O54" i="5"/>
  <c r="O42" i="5"/>
  <c r="O7" i="5"/>
  <c r="O15" i="5"/>
  <c r="O44" i="5"/>
  <c r="E35" i="34" l="1"/>
  <c r="Y21" i="5"/>
  <c r="AB21" i="5" s="1"/>
  <c r="I8" i="10"/>
  <c r="Y22" i="5"/>
  <c r="AB22" i="5" s="1"/>
  <c r="Y20" i="5"/>
  <c r="AB20" i="5" s="1"/>
  <c r="Y19" i="5"/>
  <c r="AB19" i="5" s="1"/>
  <c r="M27" i="32"/>
  <c r="Y23" i="5"/>
  <c r="AB23" i="5" s="1"/>
  <c r="Y18" i="5"/>
  <c r="AB18" i="5" s="1"/>
  <c r="I7" i="1"/>
  <c r="N106" i="29"/>
  <c r="M106" i="29" s="1"/>
  <c r="J113" i="24" s="1"/>
  <c r="Y54" i="5"/>
  <c r="AB54" i="5" s="1"/>
  <c r="E23" i="34"/>
  <c r="Y65" i="5"/>
  <c r="AB65" i="5" s="1"/>
  <c r="Y225" i="5"/>
  <c r="AB225" i="5" s="1"/>
  <c r="Y67" i="5"/>
  <c r="AB67" i="5" s="1"/>
  <c r="Y66" i="5"/>
  <c r="AB66" i="5" s="1"/>
  <c r="E27" i="34"/>
  <c r="Y64" i="5"/>
  <c r="AB64" i="5" s="1"/>
  <c r="Y63" i="5"/>
  <c r="AB63" i="5" s="1"/>
  <c r="Y62" i="5"/>
  <c r="AB62" i="5" s="1"/>
  <c r="I10" i="16"/>
  <c r="Y53" i="5"/>
  <c r="AB53" i="5" s="1"/>
  <c r="M57" i="32"/>
  <c r="Y51" i="5"/>
  <c r="AB51" i="5" s="1"/>
  <c r="Y226" i="5"/>
  <c r="AB226" i="5" s="1"/>
  <c r="Y227" i="5"/>
  <c r="AB227" i="5" s="1"/>
  <c r="Y224" i="5"/>
  <c r="AB224" i="5" s="1"/>
  <c r="Y228" i="5"/>
  <c r="AB228" i="5" s="1"/>
  <c r="M16" i="32"/>
  <c r="H24" i="34"/>
  <c r="E21" i="34"/>
  <c r="Y167" i="5"/>
  <c r="AB167" i="5" s="1"/>
  <c r="Y293" i="5"/>
  <c r="AB293" i="5" s="1"/>
  <c r="M31" i="32"/>
  <c r="M48" i="32"/>
  <c r="Y307" i="5"/>
  <c r="AB307" i="5" s="1"/>
  <c r="I6" i="19"/>
  <c r="Y292" i="5"/>
  <c r="AB292" i="5" s="1"/>
  <c r="Y304" i="5"/>
  <c r="AB304" i="5" s="1"/>
  <c r="Y294" i="5"/>
  <c r="AB294" i="5" s="1"/>
  <c r="Y291" i="5"/>
  <c r="AB291" i="5" s="1"/>
  <c r="Y165" i="5"/>
  <c r="AB165" i="5" s="1"/>
  <c r="Y296" i="5"/>
  <c r="AB296" i="5" s="1"/>
  <c r="Y290" i="5"/>
  <c r="AB290" i="5" s="1"/>
  <c r="Y168" i="5"/>
  <c r="AB168" i="5" s="1"/>
  <c r="Y295" i="5"/>
  <c r="AB295" i="5" s="1"/>
  <c r="I8" i="21"/>
  <c r="M61" i="32"/>
  <c r="Y232" i="5"/>
  <c r="AB232" i="5" s="1"/>
  <c r="Y231" i="5"/>
  <c r="AB231" i="5" s="1"/>
  <c r="Y230" i="5"/>
  <c r="AB230" i="5" s="1"/>
  <c r="Y135" i="5"/>
  <c r="AB135" i="5" s="1"/>
  <c r="Y234" i="5"/>
  <c r="AB234" i="5" s="1"/>
  <c r="Y141" i="5"/>
  <c r="AB141" i="5" s="1"/>
  <c r="Y138" i="5"/>
  <c r="AB138" i="5" s="1"/>
  <c r="Y137" i="5"/>
  <c r="AB137" i="5" s="1"/>
  <c r="Y140" i="5"/>
  <c r="AB140" i="5" s="1"/>
  <c r="M45" i="32"/>
  <c r="I8" i="19"/>
  <c r="Y139" i="5"/>
  <c r="AB139" i="5" s="1"/>
  <c r="Y306" i="5"/>
  <c r="AB306" i="5" s="1"/>
  <c r="I7" i="20"/>
  <c r="Y305" i="5"/>
  <c r="AB305" i="5" s="1"/>
  <c r="Y303" i="5"/>
  <c r="AB303" i="5" s="1"/>
  <c r="Y118" i="5"/>
  <c r="AB118" i="5" s="1"/>
  <c r="Y190" i="5"/>
  <c r="AB190" i="5" s="1"/>
  <c r="Y195" i="5"/>
  <c r="AB195" i="5" s="1"/>
  <c r="Y196" i="5"/>
  <c r="AB196" i="5" s="1"/>
  <c r="Y191" i="5"/>
  <c r="AB191" i="5" s="1"/>
  <c r="I7" i="18"/>
  <c r="Y194" i="5"/>
  <c r="AB194" i="5" s="1"/>
  <c r="M39" i="32"/>
  <c r="Y192" i="5"/>
  <c r="AB192" i="5" s="1"/>
  <c r="H18" i="34"/>
  <c r="Y193" i="5"/>
  <c r="AB193" i="5" s="1"/>
  <c r="Y189" i="5"/>
  <c r="AB189" i="5" s="1"/>
  <c r="Y120" i="5"/>
  <c r="AB120" i="5" s="1"/>
  <c r="Y119" i="5"/>
  <c r="AB119" i="5" s="1"/>
  <c r="M43" i="32"/>
  <c r="Y115" i="5"/>
  <c r="AB115" i="5" s="1"/>
  <c r="Y116" i="5"/>
  <c r="AB116" i="5" s="1"/>
  <c r="Y117" i="5"/>
  <c r="AB117" i="5" s="1"/>
  <c r="I8" i="14"/>
  <c r="Y162" i="5"/>
  <c r="AB162" i="5" s="1"/>
  <c r="Y172" i="5"/>
  <c r="AB172" i="5" s="1"/>
  <c r="Y163" i="5"/>
  <c r="AB163" i="5" s="1"/>
  <c r="Y174" i="5"/>
  <c r="AB174" i="5" s="1"/>
  <c r="Y166" i="5"/>
  <c r="AB166" i="5" s="1"/>
  <c r="Y164" i="5"/>
  <c r="AB164" i="5" s="1"/>
  <c r="H39" i="34"/>
  <c r="Y170" i="5"/>
  <c r="AB170" i="5" s="1"/>
  <c r="Y173" i="5"/>
  <c r="AB173" i="5" s="1"/>
  <c r="Y171" i="5"/>
  <c r="AB171" i="5" s="1"/>
  <c r="N107" i="29"/>
  <c r="M107" i="29" s="1"/>
  <c r="J114" i="24" s="1"/>
  <c r="N95" i="29"/>
  <c r="M95" i="29" s="1"/>
  <c r="J102" i="24" s="1"/>
  <c r="N21" i="29"/>
  <c r="M21" i="29" s="1"/>
  <c r="J28" i="24" s="1"/>
  <c r="N55" i="29"/>
  <c r="M55" i="29" s="1"/>
  <c r="J62" i="24" s="1"/>
  <c r="N105" i="29"/>
  <c r="M105" i="29" s="1"/>
  <c r="J112" i="24" s="1"/>
  <c r="N52" i="29"/>
  <c r="M52" i="29" s="1"/>
  <c r="J59" i="24" s="1"/>
  <c r="N34" i="29"/>
  <c r="M34" i="29" s="1"/>
  <c r="J41" i="24" s="1"/>
  <c r="N96" i="29"/>
  <c r="M96" i="29" s="1"/>
  <c r="J103" i="24" s="1"/>
  <c r="N25" i="29"/>
  <c r="M25" i="29" s="1"/>
  <c r="J32" i="24" s="1"/>
  <c r="N85" i="29"/>
  <c r="M85" i="29" s="1"/>
  <c r="J92" i="24" s="1"/>
  <c r="N62" i="29"/>
  <c r="M62" i="29" s="1"/>
  <c r="J69" i="24" s="1"/>
  <c r="N50" i="29"/>
  <c r="N60" i="29"/>
  <c r="M60" i="29" s="1"/>
  <c r="J67" i="24" s="1"/>
  <c r="N4" i="29"/>
  <c r="M4" i="29" s="1"/>
  <c r="J11" i="24" s="1"/>
  <c r="P30" i="29"/>
  <c r="L37" i="24" s="1"/>
  <c r="N30" i="29"/>
  <c r="M30" i="29" s="1"/>
  <c r="J37" i="24" s="1"/>
  <c r="N102" i="29"/>
  <c r="M102" i="29" s="1"/>
  <c r="J109" i="24" s="1"/>
  <c r="P66" i="29"/>
  <c r="L73" i="24" s="1"/>
  <c r="N66" i="29"/>
  <c r="M66" i="29" s="1"/>
  <c r="J73" i="24" s="1"/>
  <c r="H14" i="34"/>
  <c r="Y261" i="5"/>
  <c r="AB261" i="5" s="1"/>
  <c r="Y260" i="5"/>
  <c r="AB260" i="5" s="1"/>
  <c r="M36" i="32"/>
  <c r="Y262" i="5"/>
  <c r="AB262" i="5" s="1"/>
  <c r="Y259" i="5"/>
  <c r="AB259" i="5" s="1"/>
  <c r="I9" i="17"/>
  <c r="Y263" i="5"/>
  <c r="AB263" i="5" s="1"/>
  <c r="Y258" i="5"/>
  <c r="AB258" i="5" s="1"/>
  <c r="Y264" i="5"/>
  <c r="AB264" i="5" s="1"/>
  <c r="H27" i="34"/>
  <c r="Y322" i="5"/>
  <c r="AB322" i="5" s="1"/>
  <c r="I10" i="20"/>
  <c r="Y323" i="5"/>
  <c r="AB323" i="5" s="1"/>
  <c r="Y325" i="5"/>
  <c r="AB325" i="5" s="1"/>
  <c r="Y326" i="5"/>
  <c r="AB326" i="5" s="1"/>
  <c r="Y320" i="5"/>
  <c r="AB320" i="5" s="1"/>
  <c r="Y324" i="5"/>
  <c r="AB324" i="5" s="1"/>
  <c r="Y321" i="5"/>
  <c r="AB321" i="5" s="1"/>
  <c r="M51" i="32"/>
  <c r="E33" i="34"/>
  <c r="Y5" i="5"/>
  <c r="AB5" i="5" s="1"/>
  <c r="O2" i="5"/>
  <c r="Y3" i="5"/>
  <c r="AB3" i="5" s="1"/>
  <c r="Y4" i="5"/>
  <c r="AB4" i="5" s="1"/>
  <c r="Y7" i="5"/>
  <c r="AB7" i="5" s="1"/>
  <c r="Y8" i="5"/>
  <c r="AB8" i="5" s="1"/>
  <c r="Y2" i="5"/>
  <c r="AB2" i="5" s="1"/>
  <c r="W2" i="5" s="1"/>
  <c r="Y6" i="5"/>
  <c r="AB6" i="5" s="1"/>
  <c r="I6" i="10"/>
  <c r="M25" i="32"/>
  <c r="H32" i="34"/>
  <c r="I8" i="16"/>
  <c r="Y39" i="5"/>
  <c r="AB39" i="5" s="1"/>
  <c r="Y38" i="5"/>
  <c r="AB38" i="5" s="1"/>
  <c r="Y36" i="5"/>
  <c r="AB36" i="5" s="1"/>
  <c r="M55" i="32"/>
  <c r="Y37" i="5"/>
  <c r="AB37" i="5" s="1"/>
  <c r="N61" i="29"/>
  <c r="M61" i="29" s="1"/>
  <c r="J68" i="24" s="1"/>
  <c r="P61" i="29"/>
  <c r="L68" i="24" s="1"/>
  <c r="P11" i="29"/>
  <c r="L18" i="24" s="1"/>
  <c r="N11" i="29"/>
  <c r="M11" i="29" s="1"/>
  <c r="J18" i="24" s="1"/>
  <c r="P70" i="29"/>
  <c r="L77" i="24" s="1"/>
  <c r="N70" i="29"/>
  <c r="N73" i="29"/>
  <c r="M73" i="29" s="1"/>
  <c r="J80" i="24" s="1"/>
  <c r="P73" i="29"/>
  <c r="L80" i="24" s="1"/>
  <c r="N67" i="29"/>
  <c r="M67" i="29" s="1"/>
  <c r="J74" i="24" s="1"/>
  <c r="P67" i="29"/>
  <c r="L74" i="24" s="1"/>
  <c r="N88" i="29"/>
  <c r="P69" i="29"/>
  <c r="L76" i="24" s="1"/>
  <c r="N69" i="29"/>
  <c r="M69" i="29" s="1"/>
  <c r="J76" i="24" s="1"/>
  <c r="N16" i="29"/>
  <c r="M16" i="29" s="1"/>
  <c r="J23" i="24" s="1"/>
  <c r="P16" i="29"/>
  <c r="L23" i="24" s="1"/>
  <c r="E28" i="34"/>
  <c r="Y68" i="5"/>
  <c r="AB68" i="5" s="1"/>
  <c r="Y70" i="5"/>
  <c r="AB70" i="5" s="1"/>
  <c r="M21" i="32"/>
  <c r="Y69" i="5"/>
  <c r="AB69" i="5" s="1"/>
  <c r="Y73" i="5"/>
  <c r="AB73" i="5" s="1"/>
  <c r="Y71" i="5"/>
  <c r="AB71" i="5" s="1"/>
  <c r="Y72" i="5"/>
  <c r="AB72" i="5" s="1"/>
  <c r="I8" i="8"/>
  <c r="E30" i="34"/>
  <c r="M23" i="32"/>
  <c r="Y85" i="5"/>
  <c r="AB85" i="5" s="1"/>
  <c r="Y80" i="5"/>
  <c r="AB80" i="5" s="1"/>
  <c r="I10" i="8"/>
  <c r="Y86" i="5"/>
  <c r="AB86" i="5" s="1"/>
  <c r="Y84" i="5"/>
  <c r="AB84" i="5" s="1"/>
  <c r="Y81" i="5"/>
  <c r="AB81" i="5" s="1"/>
  <c r="Y83" i="5"/>
  <c r="AB83" i="5" s="1"/>
  <c r="Y82" i="5"/>
  <c r="AB82" i="5" s="1"/>
  <c r="H23" i="34"/>
  <c r="Y297" i="5"/>
  <c r="AB297" i="5" s="1"/>
  <c r="Y299" i="5"/>
  <c r="AB299" i="5" s="1"/>
  <c r="Y298" i="5"/>
  <c r="AB298" i="5" s="1"/>
  <c r="O49" i="5"/>
  <c r="Y300" i="5"/>
  <c r="AB300" i="5" s="1"/>
  <c r="I6" i="20"/>
  <c r="M47" i="32"/>
  <c r="Y301" i="5"/>
  <c r="AB301" i="5" s="1"/>
  <c r="Y302" i="5"/>
  <c r="AB302" i="5" s="1"/>
  <c r="P7" i="29"/>
  <c r="L14" i="24" s="1"/>
  <c r="N7" i="29"/>
  <c r="M7" i="29" s="1"/>
  <c r="J14" i="24" s="1"/>
  <c r="N54" i="29"/>
  <c r="M54" i="29" s="1"/>
  <c r="J61" i="24" s="1"/>
  <c r="P54" i="29"/>
  <c r="L61" i="24" s="1"/>
  <c r="P78" i="29"/>
  <c r="L85" i="24" s="1"/>
  <c r="N78" i="29"/>
  <c r="M78" i="29" s="1"/>
  <c r="J85" i="24" s="1"/>
  <c r="N46" i="29"/>
  <c r="M46" i="29" s="1"/>
  <c r="J53" i="24" s="1"/>
  <c r="P46" i="29"/>
  <c r="L53" i="24" s="1"/>
  <c r="P37" i="29"/>
  <c r="L44" i="24" s="1"/>
  <c r="N37" i="29"/>
  <c r="M37" i="29" s="1"/>
  <c r="J44" i="24" s="1"/>
  <c r="N80" i="29"/>
  <c r="M80" i="29" s="1"/>
  <c r="J87" i="24" s="1"/>
  <c r="P80" i="29"/>
  <c r="L87" i="24" s="1"/>
  <c r="P29" i="29"/>
  <c r="L36" i="24" s="1"/>
  <c r="N29" i="29"/>
  <c r="M29" i="29" s="1"/>
  <c r="J36" i="24" s="1"/>
  <c r="P5" i="29"/>
  <c r="L12" i="24" s="1"/>
  <c r="N5" i="29"/>
  <c r="M5" i="29" s="1"/>
  <c r="J12" i="24" s="1"/>
  <c r="P20" i="29"/>
  <c r="L27" i="24" s="1"/>
  <c r="N20" i="29"/>
  <c r="M20" i="29" s="1"/>
  <c r="J27" i="24" s="1"/>
  <c r="P64" i="29"/>
  <c r="L71" i="24" s="1"/>
  <c r="N64" i="29"/>
  <c r="M64" i="29" s="1"/>
  <c r="J71" i="24" s="1"/>
  <c r="P36" i="29"/>
  <c r="L43" i="24" s="1"/>
  <c r="N36" i="29"/>
  <c r="M36" i="29" s="1"/>
  <c r="J43" i="24" s="1"/>
  <c r="P75" i="29"/>
  <c r="L82" i="24" s="1"/>
  <c r="N75" i="29"/>
  <c r="M75" i="29" s="1"/>
  <c r="J82" i="24" s="1"/>
  <c r="P39" i="29"/>
  <c r="L46" i="24" s="1"/>
  <c r="N39" i="29"/>
  <c r="M39" i="29" s="1"/>
  <c r="J46" i="24" s="1"/>
  <c r="N2" i="29"/>
  <c r="P2" i="29"/>
  <c r="L9" i="24" s="1"/>
  <c r="N108" i="29"/>
  <c r="M108" i="29" s="1"/>
  <c r="J115" i="24" s="1"/>
  <c r="P58" i="29"/>
  <c r="L65" i="24" s="1"/>
  <c r="N58" i="29"/>
  <c r="M58" i="29" s="1"/>
  <c r="J65" i="24" s="1"/>
  <c r="P10" i="29"/>
  <c r="L17" i="24" s="1"/>
  <c r="N10" i="29"/>
  <c r="M10" i="29" s="1"/>
  <c r="J17" i="24" s="1"/>
  <c r="P76" i="29"/>
  <c r="L83" i="24" s="1"/>
  <c r="N76" i="29"/>
  <c r="M76" i="29" s="1"/>
  <c r="J83" i="24" s="1"/>
  <c r="N53" i="29"/>
  <c r="M53" i="29" s="1"/>
  <c r="J60" i="24" s="1"/>
  <c r="P53" i="29"/>
  <c r="L60" i="24" s="1"/>
  <c r="P82" i="29"/>
  <c r="L89" i="24" s="1"/>
  <c r="N82" i="29"/>
  <c r="M82" i="29" s="1"/>
  <c r="J89" i="24" s="1"/>
  <c r="E16" i="34"/>
  <c r="Y222" i="5"/>
  <c r="AB222" i="5" s="1"/>
  <c r="Y223" i="5"/>
  <c r="AB223" i="5" s="1"/>
  <c r="Y214" i="5"/>
  <c r="AB214" i="5" s="1"/>
  <c r="Y218" i="5"/>
  <c r="AB218" i="5" s="1"/>
  <c r="M15" i="32"/>
  <c r="Y217" i="5"/>
  <c r="AB217" i="5" s="1"/>
  <c r="Y219" i="5"/>
  <c r="AB219" i="5" s="1"/>
  <c r="O36" i="5"/>
  <c r="I6" i="1"/>
  <c r="Y215" i="5"/>
  <c r="AB215" i="5" s="1"/>
  <c r="Y220" i="5"/>
  <c r="AB220" i="5" s="1"/>
  <c r="Y221" i="5"/>
  <c r="AB221" i="5" s="1"/>
  <c r="Y216" i="5"/>
  <c r="AB216" i="5" s="1"/>
  <c r="E26" i="34"/>
  <c r="Y60" i="5"/>
  <c r="AB60" i="5" s="1"/>
  <c r="Y56" i="5"/>
  <c r="AB56" i="5" s="1"/>
  <c r="O12" i="5"/>
  <c r="Y59" i="5"/>
  <c r="AB59" i="5" s="1"/>
  <c r="Y57" i="5"/>
  <c r="AB57" i="5" s="1"/>
  <c r="M19" i="32"/>
  <c r="I6" i="8"/>
  <c r="Y61" i="5"/>
  <c r="AB61" i="5" s="1"/>
  <c r="Y58" i="5"/>
  <c r="AB58" i="5" s="1"/>
  <c r="Y10" i="5"/>
  <c r="AB10" i="5" s="1"/>
  <c r="E34" i="34"/>
  <c r="Y12" i="5"/>
  <c r="AB12" i="5" s="1"/>
  <c r="Y15" i="5"/>
  <c r="AB15" i="5" s="1"/>
  <c r="Y11" i="5"/>
  <c r="AB11" i="5" s="1"/>
  <c r="Y9" i="5"/>
  <c r="AB9" i="5" s="1"/>
  <c r="I7" i="10"/>
  <c r="Y16" i="5"/>
  <c r="AB16" i="5" s="1"/>
  <c r="Y13" i="5"/>
  <c r="AB13" i="5" s="1"/>
  <c r="Y14" i="5"/>
  <c r="AB14" i="5" s="1"/>
  <c r="M26" i="32"/>
  <c r="N59" i="29"/>
  <c r="M59" i="29" s="1"/>
  <c r="J66" i="24" s="1"/>
  <c r="P59" i="29"/>
  <c r="L66" i="24" s="1"/>
  <c r="H38" i="34"/>
  <c r="Y154" i="5"/>
  <c r="AB154" i="5" s="1"/>
  <c r="Y158" i="5"/>
  <c r="AB158" i="5" s="1"/>
  <c r="Y152" i="5"/>
  <c r="AB152" i="5" s="1"/>
  <c r="Y153" i="5"/>
  <c r="AB153" i="5" s="1"/>
  <c r="Y160" i="5"/>
  <c r="AB160" i="5" s="1"/>
  <c r="Y156" i="5"/>
  <c r="AB156" i="5" s="1"/>
  <c r="Y151" i="5"/>
  <c r="AB151" i="5" s="1"/>
  <c r="Y155" i="5"/>
  <c r="AB155" i="5" s="1"/>
  <c r="I7" i="14"/>
  <c r="Y161" i="5"/>
  <c r="AB161" i="5" s="1"/>
  <c r="Y150" i="5"/>
  <c r="AB150" i="5" s="1"/>
  <c r="M60" i="32"/>
  <c r="Y159" i="5"/>
  <c r="AB159" i="5" s="1"/>
  <c r="Y157" i="5"/>
  <c r="AB157" i="5" s="1"/>
  <c r="Y149" i="5"/>
  <c r="AB149" i="5" s="1"/>
  <c r="Y147" i="5"/>
  <c r="AB147" i="5" s="1"/>
  <c r="Y144" i="5"/>
  <c r="AB144" i="5" s="1"/>
  <c r="Y143" i="5"/>
  <c r="AB143" i="5" s="1"/>
  <c r="H37" i="34"/>
  <c r="Y148" i="5"/>
  <c r="AB148" i="5" s="1"/>
  <c r="M59" i="32"/>
  <c r="I6" i="14"/>
  <c r="O26" i="5"/>
  <c r="Y146" i="5"/>
  <c r="AB146" i="5" s="1"/>
  <c r="Y145" i="5"/>
  <c r="AB145" i="5" s="1"/>
  <c r="Y142" i="5"/>
  <c r="AB142" i="5" s="1"/>
  <c r="H25" i="34"/>
  <c r="I8" i="20"/>
  <c r="M49" i="32"/>
  <c r="Y311" i="5"/>
  <c r="AB311" i="5" s="1"/>
  <c r="Y310" i="5"/>
  <c r="AB310" i="5" s="1"/>
  <c r="Y313" i="5"/>
  <c r="AB313" i="5" s="1"/>
  <c r="Y312" i="5"/>
  <c r="AB312" i="5" s="1"/>
  <c r="Y309" i="5"/>
  <c r="AB309" i="5" s="1"/>
  <c r="Y314" i="5"/>
  <c r="AB314" i="5" s="1"/>
  <c r="E38" i="34"/>
  <c r="O45" i="5"/>
  <c r="Y273" i="5"/>
  <c r="AB273" i="5" s="1"/>
  <c r="Y274" i="5"/>
  <c r="AB274" i="5" s="1"/>
  <c r="Y275" i="5"/>
  <c r="AB275" i="5" s="1"/>
  <c r="Y271" i="5"/>
  <c r="AB271" i="5" s="1"/>
  <c r="Y266" i="5"/>
  <c r="AB266" i="5" s="1"/>
  <c r="Y270" i="5"/>
  <c r="AB270" i="5" s="1"/>
  <c r="I6" i="21"/>
  <c r="Y268" i="5"/>
  <c r="AB268" i="5" s="1"/>
  <c r="Y276" i="5"/>
  <c r="AB276" i="5" s="1"/>
  <c r="Y267" i="5"/>
  <c r="AB267" i="5" s="1"/>
  <c r="M29" i="32"/>
  <c r="Y272" i="5"/>
  <c r="AB272" i="5" s="1"/>
  <c r="Y269" i="5"/>
  <c r="AB269" i="5" s="1"/>
  <c r="Y265" i="5"/>
  <c r="AB265" i="5" s="1"/>
  <c r="H30" i="34"/>
  <c r="M53" i="32"/>
  <c r="Y30" i="5"/>
  <c r="AB30" i="5" s="1"/>
  <c r="Y28" i="5"/>
  <c r="AB28" i="5" s="1"/>
  <c r="Y29" i="5"/>
  <c r="AB29" i="5" s="1"/>
  <c r="Y26" i="5"/>
  <c r="AB26" i="5" s="1"/>
  <c r="Y31" i="5"/>
  <c r="AB31" i="5" s="1"/>
  <c r="I6" i="16"/>
  <c r="Y24" i="5"/>
  <c r="AB24" i="5" s="1"/>
  <c r="Y27" i="5"/>
  <c r="AB27" i="5" s="1"/>
  <c r="Y32" i="5"/>
  <c r="AB32" i="5" s="1"/>
  <c r="Y25" i="5"/>
  <c r="AB25" i="5" s="1"/>
  <c r="O6" i="5"/>
  <c r="E22" i="34"/>
  <c r="Y124" i="5"/>
  <c r="AB124" i="5" s="1"/>
  <c r="Y128" i="5"/>
  <c r="AB128" i="5" s="1"/>
  <c r="Y130" i="5"/>
  <c r="AB130" i="5" s="1"/>
  <c r="Y127" i="5"/>
  <c r="AB127" i="5" s="1"/>
  <c r="Y126" i="5"/>
  <c r="AB126" i="5" s="1"/>
  <c r="Y133" i="5"/>
  <c r="AB133" i="5" s="1"/>
  <c r="Y125" i="5"/>
  <c r="AB125" i="5" s="1"/>
  <c r="M44" i="32"/>
  <c r="Y131" i="5"/>
  <c r="AB131" i="5" s="1"/>
  <c r="Y132" i="5"/>
  <c r="AB132" i="5" s="1"/>
  <c r="Y129" i="5"/>
  <c r="AB129" i="5" s="1"/>
  <c r="Y134" i="5"/>
  <c r="AB134" i="5" s="1"/>
  <c r="I7" i="19"/>
  <c r="Y123" i="5"/>
  <c r="AB123" i="5" s="1"/>
  <c r="Y122" i="5"/>
  <c r="AB122" i="5" s="1"/>
  <c r="Y121" i="5"/>
  <c r="AB121" i="5" s="1"/>
  <c r="N18" i="29"/>
  <c r="M18" i="29" s="1"/>
  <c r="J25" i="24" s="1"/>
  <c r="P18" i="29"/>
  <c r="L25" i="24" s="1"/>
  <c r="P92" i="29"/>
  <c r="L99" i="24" s="1"/>
  <c r="N92" i="29"/>
  <c r="M92" i="29" s="1"/>
  <c r="J99" i="24" s="1"/>
  <c r="P23" i="29"/>
  <c r="L30" i="24" s="1"/>
  <c r="N23" i="29"/>
  <c r="M23" i="29" s="1"/>
  <c r="J30" i="24" s="1"/>
  <c r="N33" i="29"/>
  <c r="M33" i="29" s="1"/>
  <c r="J40" i="24" s="1"/>
  <c r="P33" i="29"/>
  <c r="L40" i="24" s="1"/>
  <c r="N81" i="29"/>
  <c r="M81" i="29" s="1"/>
  <c r="J88" i="24" s="1"/>
  <c r="P81" i="29"/>
  <c r="L88" i="24" s="1"/>
  <c r="P24" i="29"/>
  <c r="L31" i="24" s="1"/>
  <c r="N24" i="29"/>
  <c r="M24" i="29" s="1"/>
  <c r="J31" i="24" s="1"/>
  <c r="P9" i="29"/>
  <c r="L16" i="24" s="1"/>
  <c r="N9" i="29"/>
  <c r="M9" i="29" s="1"/>
  <c r="J16" i="24" s="1"/>
  <c r="N32" i="29"/>
  <c r="M32" i="29" s="1"/>
  <c r="J39" i="24" s="1"/>
  <c r="P32" i="29"/>
  <c r="L39" i="24" s="1"/>
  <c r="P72" i="29"/>
  <c r="L79" i="24" s="1"/>
  <c r="N72" i="29"/>
  <c r="M72" i="29" s="1"/>
  <c r="J79" i="24" s="1"/>
  <c r="P48" i="29"/>
  <c r="L55" i="24" s="1"/>
  <c r="N48" i="29"/>
  <c r="M48" i="29" s="1"/>
  <c r="J55" i="24" s="1"/>
  <c r="N79" i="29"/>
  <c r="M79" i="29" s="1"/>
  <c r="J86" i="24" s="1"/>
  <c r="P79" i="29"/>
  <c r="L86" i="24" s="1"/>
  <c r="P68" i="29"/>
  <c r="L75" i="24" s="1"/>
  <c r="N68" i="29"/>
  <c r="M68" i="29" s="1"/>
  <c r="J75" i="24" s="1"/>
  <c r="P13" i="29"/>
  <c r="L20" i="24" s="1"/>
  <c r="N13" i="29"/>
  <c r="M13" i="29" s="1"/>
  <c r="J20" i="24" s="1"/>
  <c r="P14" i="29"/>
  <c r="L21" i="24" s="1"/>
  <c r="N14" i="29"/>
  <c r="M14" i="29" s="1"/>
  <c r="J21" i="24" s="1"/>
  <c r="N38" i="29"/>
  <c r="M38" i="29" s="1"/>
  <c r="J45" i="24" s="1"/>
  <c r="P38" i="29"/>
  <c r="L45" i="24" s="1"/>
  <c r="N89" i="29"/>
  <c r="M89" i="29" s="1"/>
  <c r="J96" i="24" s="1"/>
  <c r="P89" i="29"/>
  <c r="L96" i="24" s="1"/>
  <c r="N22" i="29"/>
  <c r="M22" i="29" s="1"/>
  <c r="J29" i="24" s="1"/>
  <c r="N100" i="29"/>
  <c r="M100" i="29" s="1"/>
  <c r="J107" i="24" s="1"/>
  <c r="P100" i="29"/>
  <c r="L107" i="24" s="1"/>
  <c r="Y246" i="5"/>
  <c r="AB246" i="5" s="1"/>
  <c r="Y245" i="5"/>
  <c r="AB245" i="5" s="1"/>
  <c r="Y242" i="5"/>
  <c r="AB242" i="5" s="1"/>
  <c r="Y241" i="5"/>
  <c r="AB241" i="5" s="1"/>
  <c r="Y247" i="5"/>
  <c r="AB247" i="5" s="1"/>
  <c r="Y249" i="5"/>
  <c r="AB249" i="5" s="1"/>
  <c r="Y248" i="5"/>
  <c r="AB248" i="5" s="1"/>
  <c r="Y240" i="5"/>
  <c r="AB240" i="5" s="1"/>
  <c r="H12" i="34"/>
  <c r="Y244" i="5"/>
  <c r="AB244" i="5" s="1"/>
  <c r="M34" i="32"/>
  <c r="Y243" i="5"/>
  <c r="AB243" i="5" s="1"/>
  <c r="I7" i="17"/>
  <c r="H13" i="34"/>
  <c r="Y256" i="5"/>
  <c r="AB256" i="5" s="1"/>
  <c r="Y250" i="5"/>
  <c r="AB250" i="5" s="1"/>
  <c r="Y254" i="5"/>
  <c r="AB254" i="5" s="1"/>
  <c r="Y251" i="5"/>
  <c r="AB251" i="5" s="1"/>
  <c r="Y253" i="5"/>
  <c r="AB253" i="5" s="1"/>
  <c r="Y255" i="5"/>
  <c r="AB255" i="5" s="1"/>
  <c r="M35" i="32"/>
  <c r="Y252" i="5"/>
  <c r="AB252" i="5" s="1"/>
  <c r="I8" i="17"/>
  <c r="Y257" i="5"/>
  <c r="AB257" i="5" s="1"/>
  <c r="Y45" i="5"/>
  <c r="AB45" i="5" s="1"/>
  <c r="M56" i="32"/>
  <c r="Y44" i="5"/>
  <c r="AB44" i="5" s="1"/>
  <c r="Y47" i="5"/>
  <c r="AB47" i="5" s="1"/>
  <c r="Y46" i="5"/>
  <c r="AB46" i="5" s="1"/>
  <c r="Y48" i="5"/>
  <c r="AB48" i="5" s="1"/>
  <c r="Y40" i="5"/>
  <c r="AB40" i="5" s="1"/>
  <c r="Y43" i="5"/>
  <c r="AB43" i="5" s="1"/>
  <c r="I9" i="16"/>
  <c r="Y41" i="5"/>
  <c r="AB41" i="5" s="1"/>
  <c r="H33" i="34"/>
  <c r="Y42" i="5"/>
  <c r="AB42" i="5" s="1"/>
  <c r="H17" i="34"/>
  <c r="Y185" i="5"/>
  <c r="AB185" i="5" s="1"/>
  <c r="M38" i="32"/>
  <c r="Y184" i="5"/>
  <c r="AB184" i="5" s="1"/>
  <c r="Y183" i="5"/>
  <c r="AB183" i="5" s="1"/>
  <c r="I6" i="18"/>
  <c r="Y186" i="5"/>
  <c r="AB186" i="5" s="1"/>
  <c r="Y187" i="5"/>
  <c r="AB187" i="5" s="1"/>
  <c r="O31" i="5"/>
  <c r="Y182" i="5"/>
  <c r="AB182" i="5" s="1"/>
  <c r="P6" i="29"/>
  <c r="L13" i="24" s="1"/>
  <c r="N6" i="29"/>
  <c r="M6" i="29" s="1"/>
  <c r="J13" i="24" s="1"/>
  <c r="N51" i="29"/>
  <c r="M51" i="29" s="1"/>
  <c r="J58" i="24" s="1"/>
  <c r="P51" i="29"/>
  <c r="L58" i="24" s="1"/>
  <c r="N65" i="29"/>
  <c r="M65" i="29" s="1"/>
  <c r="J72" i="24" s="1"/>
  <c r="P65" i="29"/>
  <c r="L72" i="24" s="1"/>
  <c r="P41" i="29"/>
  <c r="L48" i="24" s="1"/>
  <c r="N41" i="29"/>
  <c r="M41" i="29" s="1"/>
  <c r="J48" i="24" s="1"/>
  <c r="P45" i="29"/>
  <c r="L52" i="24" s="1"/>
  <c r="N45" i="29"/>
  <c r="M45" i="29" s="1"/>
  <c r="J52" i="24" s="1"/>
  <c r="N71" i="29"/>
  <c r="M71" i="29" s="1"/>
  <c r="J78" i="24" s="1"/>
  <c r="N17" i="29"/>
  <c r="M17" i="29" s="1"/>
  <c r="J24" i="24" s="1"/>
  <c r="P17" i="29"/>
  <c r="L24" i="24" s="1"/>
  <c r="N97" i="29"/>
  <c r="M97" i="29" s="1"/>
  <c r="J104" i="24" s="1"/>
  <c r="P97" i="29"/>
  <c r="L104" i="24" s="1"/>
  <c r="P28" i="29"/>
  <c r="L35" i="24" s="1"/>
  <c r="N28" i="29"/>
  <c r="M28" i="29" s="1"/>
  <c r="J35" i="24" s="1"/>
  <c r="N103" i="29"/>
  <c r="M103" i="29" s="1"/>
  <c r="J110" i="24" s="1"/>
  <c r="P90" i="29"/>
  <c r="L97" i="24" s="1"/>
  <c r="N90" i="29"/>
  <c r="M90" i="29" s="1"/>
  <c r="J97" i="24" s="1"/>
  <c r="P8" i="29"/>
  <c r="L15" i="24" s="1"/>
  <c r="N8" i="29"/>
  <c r="M8" i="29" s="1"/>
  <c r="J15" i="24" s="1"/>
  <c r="P93" i="29"/>
  <c r="L100" i="24" s="1"/>
  <c r="N93" i="29"/>
  <c r="M93" i="29" s="1"/>
  <c r="J100" i="24" s="1"/>
  <c r="N99" i="29"/>
  <c r="M99" i="29" s="1"/>
  <c r="J106" i="24" s="1"/>
  <c r="P99" i="29"/>
  <c r="L106" i="24" s="1"/>
  <c r="N47" i="29"/>
  <c r="M47" i="29" s="1"/>
  <c r="J54" i="24" s="1"/>
  <c r="P47" i="29"/>
  <c r="L54" i="24" s="1"/>
  <c r="N35" i="29"/>
  <c r="M35" i="29" s="1"/>
  <c r="J42" i="24" s="1"/>
  <c r="P35" i="29"/>
  <c r="L42" i="24" s="1"/>
  <c r="N57" i="29"/>
  <c r="M57" i="29" s="1"/>
  <c r="J64" i="24" s="1"/>
  <c r="P31" i="29"/>
  <c r="L38" i="24" s="1"/>
  <c r="N31" i="29"/>
  <c r="P63" i="29"/>
  <c r="L70" i="24" s="1"/>
  <c r="N63" i="29"/>
  <c r="M63" i="29" s="1"/>
  <c r="J70" i="24" s="1"/>
  <c r="P43" i="29"/>
  <c r="L50" i="24" s="1"/>
  <c r="N43" i="29"/>
  <c r="M43" i="29" s="1"/>
  <c r="J50" i="24" s="1"/>
  <c r="P101" i="29"/>
  <c r="L108" i="24" s="1"/>
  <c r="N101" i="29"/>
  <c r="M101" i="29" s="1"/>
  <c r="J108" i="24" s="1"/>
  <c r="N12" i="29"/>
  <c r="M12" i="29" s="1"/>
  <c r="J19" i="24" s="1"/>
  <c r="P12" i="29"/>
  <c r="L19" i="24" s="1"/>
  <c r="N84" i="29"/>
  <c r="M84" i="29" s="1"/>
  <c r="J91" i="24" s="1"/>
  <c r="N26" i="29"/>
  <c r="M26" i="29" s="1"/>
  <c r="J33" i="24" s="1"/>
  <c r="P26" i="29"/>
  <c r="L33" i="24" s="1"/>
  <c r="P44" i="29"/>
  <c r="L51" i="24" s="1"/>
  <c r="N44" i="29"/>
  <c r="M44" i="29" s="1"/>
  <c r="J51" i="24" s="1"/>
  <c r="P74" i="29"/>
  <c r="L81" i="24" s="1"/>
  <c r="N74" i="29"/>
  <c r="M74" i="29" s="1"/>
  <c r="J81" i="24" s="1"/>
  <c r="P19" i="29"/>
  <c r="L26" i="24" s="1"/>
  <c r="N19" i="29"/>
  <c r="M19" i="29" s="1"/>
  <c r="J26" i="24" s="1"/>
  <c r="H19" i="34"/>
  <c r="I8" i="18"/>
  <c r="Y206" i="5"/>
  <c r="AB206" i="5" s="1"/>
  <c r="Y199" i="5"/>
  <c r="AB199" i="5" s="1"/>
  <c r="Y203" i="5"/>
  <c r="AB203" i="5" s="1"/>
  <c r="M40" i="32"/>
  <c r="Y201" i="5"/>
  <c r="AB201" i="5" s="1"/>
  <c r="Y202" i="5"/>
  <c r="AB202" i="5" s="1"/>
  <c r="Y200" i="5"/>
  <c r="AB200" i="5" s="1"/>
  <c r="Y205" i="5"/>
  <c r="AB205" i="5" s="1"/>
  <c r="Y204" i="5"/>
  <c r="AB204" i="5" s="1"/>
  <c r="Y198" i="5"/>
  <c r="AB198" i="5" s="1"/>
  <c r="Y197" i="5"/>
  <c r="AB197" i="5" s="1"/>
  <c r="H26" i="34"/>
  <c r="I9" i="20"/>
  <c r="Y316" i="5"/>
  <c r="AB316" i="5" s="1"/>
  <c r="Y319" i="5"/>
  <c r="AB319" i="5" s="1"/>
  <c r="Y315" i="5"/>
  <c r="AB315" i="5" s="1"/>
  <c r="Y318" i="5"/>
  <c r="AB318" i="5" s="1"/>
  <c r="Y317" i="5"/>
  <c r="AB317" i="5" s="1"/>
  <c r="M50" i="32"/>
  <c r="H11" i="34"/>
  <c r="Y238" i="5"/>
  <c r="AB238" i="5" s="1"/>
  <c r="Y236" i="5"/>
  <c r="AB236" i="5" s="1"/>
  <c r="Y237" i="5"/>
  <c r="AB237" i="5" s="1"/>
  <c r="Y239" i="5"/>
  <c r="AB239" i="5" s="1"/>
  <c r="I6" i="17"/>
  <c r="M33" i="32"/>
  <c r="O40" i="5"/>
  <c r="N98" i="29"/>
  <c r="M98" i="29" s="1"/>
  <c r="J105" i="24" s="1"/>
  <c r="P98" i="29"/>
  <c r="L105" i="24" s="1"/>
  <c r="N56" i="29"/>
  <c r="M56" i="29" s="1"/>
  <c r="J63" i="24" s="1"/>
  <c r="N91" i="29"/>
  <c r="M91" i="29" s="1"/>
  <c r="J98" i="24" s="1"/>
  <c r="N42" i="29"/>
  <c r="M42" i="29" s="1"/>
  <c r="J49" i="24" s="1"/>
  <c r="P42" i="29"/>
  <c r="L49" i="24" s="1"/>
  <c r="N83" i="29"/>
  <c r="M83" i="29" s="1"/>
  <c r="J90" i="24" s="1"/>
  <c r="P83" i="29"/>
  <c r="L90" i="24" s="1"/>
  <c r="N94" i="29"/>
  <c r="M94" i="29" s="1"/>
  <c r="J101" i="24" s="1"/>
  <c r="N3" i="29"/>
  <c r="M3" i="29" s="1"/>
  <c r="J10" i="24" s="1"/>
  <c r="P3" i="29"/>
  <c r="L10" i="24" s="1"/>
  <c r="P15" i="29"/>
  <c r="L22" i="24" s="1"/>
  <c r="N15" i="29"/>
  <c r="M15" i="29" s="1"/>
  <c r="J22" i="24" s="1"/>
  <c r="P49" i="29"/>
  <c r="L56" i="24" s="1"/>
  <c r="N49" i="29"/>
  <c r="M49" i="29" s="1"/>
  <c r="J56" i="24" s="1"/>
  <c r="P40" i="29"/>
  <c r="L47" i="24" s="1"/>
  <c r="N40" i="29"/>
  <c r="M40" i="29" s="1"/>
  <c r="J47" i="24" s="1"/>
  <c r="P104" i="29"/>
  <c r="L111" i="24" s="1"/>
  <c r="N104" i="29"/>
  <c r="P87" i="29"/>
  <c r="L94" i="24" s="1"/>
  <c r="N87" i="29"/>
  <c r="M87" i="29" s="1"/>
  <c r="J94" i="24" s="1"/>
  <c r="N27" i="29"/>
  <c r="M27" i="29" s="1"/>
  <c r="J34" i="24" s="1"/>
  <c r="P27" i="29"/>
  <c r="L34" i="24" s="1"/>
  <c r="N109" i="29"/>
  <c r="M109" i="29" s="1"/>
  <c r="J116" i="24" s="1"/>
  <c r="N86" i="29"/>
  <c r="M86" i="29" s="1"/>
  <c r="J93" i="24" s="1"/>
  <c r="P86" i="29"/>
  <c r="L93" i="24" s="1"/>
  <c r="P77" i="29"/>
  <c r="L84" i="24" s="1"/>
  <c r="N77" i="29"/>
  <c r="M77" i="29" s="1"/>
  <c r="J84" i="24" s="1"/>
  <c r="E39" i="34"/>
  <c r="Y288" i="5"/>
  <c r="AB288" i="5" s="1"/>
  <c r="Y282" i="5"/>
  <c r="AB282" i="5" s="1"/>
  <c r="M30" i="32"/>
  <c r="Y284" i="5"/>
  <c r="AB284" i="5" s="1"/>
  <c r="Y287" i="5"/>
  <c r="AB287" i="5" s="1"/>
  <c r="Y281" i="5"/>
  <c r="AB281" i="5" s="1"/>
  <c r="Y289" i="5"/>
  <c r="AB289" i="5" s="1"/>
  <c r="Y279" i="5"/>
  <c r="AB279" i="5" s="1"/>
  <c r="Y278" i="5"/>
  <c r="AB278" i="5" s="1"/>
  <c r="I7" i="21"/>
  <c r="Y283" i="5"/>
  <c r="AB283" i="5" s="1"/>
  <c r="Y277" i="5"/>
  <c r="AB277" i="5" s="1"/>
  <c r="Y280" i="5"/>
  <c r="AB280" i="5" s="1"/>
  <c r="Y286" i="5"/>
  <c r="AB286" i="5" s="1"/>
  <c r="Y285" i="5"/>
  <c r="AB285" i="5" s="1"/>
  <c r="O22" i="5"/>
  <c r="H40" i="34"/>
  <c r="M62" i="32"/>
  <c r="Y175" i="5"/>
  <c r="AB175" i="5" s="1"/>
  <c r="Y176" i="5"/>
  <c r="AB176" i="5" s="1"/>
  <c r="Y177" i="5"/>
  <c r="AB177" i="5" s="1"/>
  <c r="Y180" i="5"/>
  <c r="AB180" i="5" s="1"/>
  <c r="Y178" i="5"/>
  <c r="AB178" i="5" s="1"/>
  <c r="Y179" i="5"/>
  <c r="AB179" i="5" s="1"/>
  <c r="I9" i="14"/>
  <c r="H31" i="34"/>
  <c r="Y34" i="5"/>
  <c r="AB34" i="5" s="1"/>
  <c r="M54" i="32"/>
  <c r="Y33" i="5"/>
  <c r="AB33" i="5" s="1"/>
  <c r="Y35" i="5"/>
  <c r="AB35" i="5" s="1"/>
  <c r="I7" i="16"/>
  <c r="W3" i="5" l="1"/>
  <c r="W17" i="5"/>
  <c r="W117" i="5"/>
  <c r="W139" i="5"/>
  <c r="W46" i="5"/>
  <c r="W16" i="5"/>
  <c r="W15" i="5"/>
  <c r="W20" i="5"/>
  <c r="W177" i="5"/>
  <c r="W305" i="5"/>
  <c r="W170" i="5"/>
  <c r="W174" i="5"/>
  <c r="W67" i="5"/>
  <c r="W25" i="5"/>
  <c r="W28" i="5"/>
  <c r="W51" i="5"/>
  <c r="W289" i="5"/>
  <c r="W237" i="5"/>
  <c r="W225" i="5"/>
  <c r="W199" i="5"/>
  <c r="W186" i="5"/>
  <c r="W250" i="5"/>
  <c r="W210" i="5"/>
  <c r="W265" i="5"/>
  <c r="W274" i="5"/>
  <c r="W118" i="5"/>
  <c r="W145" i="5"/>
  <c r="W155" i="5"/>
  <c r="W64" i="5"/>
  <c r="W57" i="5"/>
  <c r="W304" i="5"/>
  <c r="W219" i="5"/>
  <c r="W301" i="5"/>
  <c r="W83" i="5"/>
  <c r="W79" i="5"/>
  <c r="W258" i="5"/>
  <c r="W33" i="5"/>
  <c r="W137" i="5"/>
  <c r="W195" i="5"/>
  <c r="W178" i="5"/>
  <c r="W308" i="5"/>
  <c r="W171" i="5"/>
  <c r="W280" i="5"/>
  <c r="W278" i="5"/>
  <c r="W282" i="5"/>
  <c r="AC7" i="29"/>
  <c r="G18" i="23" s="1"/>
  <c r="H18" i="23" s="1"/>
  <c r="I18" i="23" s="1"/>
  <c r="M104" i="29"/>
  <c r="J111" i="24" s="1"/>
  <c r="W65" i="5"/>
  <c r="W18" i="5"/>
  <c r="W238" i="5"/>
  <c r="W193" i="5"/>
  <c r="W318" i="5"/>
  <c r="W197" i="5"/>
  <c r="W205" i="5"/>
  <c r="W164" i="5"/>
  <c r="W293" i="5"/>
  <c r="H16" i="34"/>
  <c r="S10" i="5"/>
  <c r="M37" i="32"/>
  <c r="J7" i="18"/>
  <c r="W183" i="5"/>
  <c r="W40" i="5"/>
  <c r="W47" i="5"/>
  <c r="W53" i="5"/>
  <c r="W254" i="5"/>
  <c r="W248" i="5"/>
  <c r="W242" i="5"/>
  <c r="W231" i="5"/>
  <c r="W209" i="5"/>
  <c r="W122" i="5"/>
  <c r="W129" i="5"/>
  <c r="W125" i="5"/>
  <c r="W127" i="5"/>
  <c r="W27" i="5"/>
  <c r="W26" i="5"/>
  <c r="W63" i="5"/>
  <c r="W272" i="5"/>
  <c r="W268" i="5"/>
  <c r="W271" i="5"/>
  <c r="W273" i="5"/>
  <c r="W224" i="5"/>
  <c r="W309" i="5"/>
  <c r="W310" i="5"/>
  <c r="W162" i="5"/>
  <c r="M58" i="32"/>
  <c r="S13" i="5"/>
  <c r="H36" i="34"/>
  <c r="J7" i="14"/>
  <c r="W148" i="5"/>
  <c r="W147" i="5"/>
  <c r="W157" i="5"/>
  <c r="W161" i="5"/>
  <c r="W156" i="5"/>
  <c r="W152" i="5"/>
  <c r="W141" i="5"/>
  <c r="W194" i="5"/>
  <c r="W13" i="5"/>
  <c r="W9" i="5"/>
  <c r="J7" i="8"/>
  <c r="E25" i="34"/>
  <c r="S6" i="5"/>
  <c r="M18" i="32"/>
  <c r="W119" i="5"/>
  <c r="W165" i="5"/>
  <c r="W216" i="5"/>
  <c r="W223" i="5"/>
  <c r="W229" i="5"/>
  <c r="W298" i="5"/>
  <c r="W213" i="5"/>
  <c r="W55" i="5"/>
  <c r="W84" i="5"/>
  <c r="W85" i="5"/>
  <c r="W73" i="5"/>
  <c r="W68" i="5"/>
  <c r="W233" i="5"/>
  <c r="W38" i="5"/>
  <c r="W7" i="5"/>
  <c r="W324" i="5"/>
  <c r="W323" i="5"/>
  <c r="W264" i="5"/>
  <c r="W260" i="5"/>
  <c r="W285" i="5"/>
  <c r="W284" i="5"/>
  <c r="W319" i="5"/>
  <c r="W202" i="5"/>
  <c r="M31" i="29"/>
  <c r="J38" i="24" s="1"/>
  <c r="AC4" i="29"/>
  <c r="G12" i="23" s="1"/>
  <c r="H12" i="23" s="1"/>
  <c r="I12" i="23" s="1"/>
  <c r="W207" i="5"/>
  <c r="W247" i="5"/>
  <c r="W246" i="5"/>
  <c r="W131" i="5"/>
  <c r="W270" i="5"/>
  <c r="W143" i="5"/>
  <c r="W153" i="5"/>
  <c r="W60" i="5"/>
  <c r="W167" i="5"/>
  <c r="W218" i="5"/>
  <c r="W77" i="5"/>
  <c r="W297" i="5"/>
  <c r="M88" i="29"/>
  <c r="J95" i="24" s="1"/>
  <c r="AC6" i="29"/>
  <c r="G16" i="23" s="1"/>
  <c r="H16" i="23" s="1"/>
  <c r="I16" i="23" s="1"/>
  <c r="W107" i="5"/>
  <c r="W93" i="5"/>
  <c r="W113" i="5"/>
  <c r="W96" i="5"/>
  <c r="W110" i="5"/>
  <c r="W102" i="5"/>
  <c r="W91" i="5"/>
  <c r="W95" i="5"/>
  <c r="W109" i="5"/>
  <c r="W89" i="5"/>
  <c r="W90" i="5"/>
  <c r="W106" i="5"/>
  <c r="W88" i="5"/>
  <c r="W181" i="5"/>
  <c r="W98" i="5"/>
  <c r="W92" i="5"/>
  <c r="W101" i="5"/>
  <c r="W99" i="5"/>
  <c r="W87" i="5"/>
  <c r="W100" i="5"/>
  <c r="W112" i="5"/>
  <c r="W97" i="5"/>
  <c r="W104" i="5"/>
  <c r="W103" i="5"/>
  <c r="W105" i="5"/>
  <c r="W94" i="5"/>
  <c r="W111" i="5"/>
  <c r="W108" i="5"/>
  <c r="W322" i="5"/>
  <c r="W66" i="5"/>
  <c r="W135" i="5"/>
  <c r="W190" i="5"/>
  <c r="W180" i="5"/>
  <c r="W175" i="5"/>
  <c r="S5" i="5"/>
  <c r="M42" i="32"/>
  <c r="E20" i="34"/>
  <c r="J7" i="19"/>
  <c r="W303" i="5"/>
  <c r="W173" i="5"/>
  <c r="W296" i="5"/>
  <c r="W277" i="5"/>
  <c r="W279" i="5"/>
  <c r="W287" i="5"/>
  <c r="W288" i="5"/>
  <c r="W136" i="5"/>
  <c r="M32" i="32"/>
  <c r="J7" i="17"/>
  <c r="S9" i="5"/>
  <c r="H10" i="34"/>
  <c r="W239" i="5"/>
  <c r="W315" i="5"/>
  <c r="W200" i="5"/>
  <c r="W203" i="5"/>
  <c r="W166" i="5"/>
  <c r="W187" i="5"/>
  <c r="W184" i="5"/>
  <c r="W234" i="5"/>
  <c r="W41" i="5"/>
  <c r="W48" i="5"/>
  <c r="W44" i="5"/>
  <c r="W257" i="5"/>
  <c r="W255" i="5"/>
  <c r="W244" i="5"/>
  <c r="W249" i="5"/>
  <c r="W245" i="5"/>
  <c r="W232" i="5"/>
  <c r="W54" i="5"/>
  <c r="W123" i="5"/>
  <c r="W132" i="5"/>
  <c r="W133" i="5"/>
  <c r="W130" i="5"/>
  <c r="M52" i="32"/>
  <c r="S12" i="5"/>
  <c r="J7" i="16"/>
  <c r="H29" i="34"/>
  <c r="W24" i="5"/>
  <c r="W29" i="5"/>
  <c r="W140" i="5"/>
  <c r="W192" i="5"/>
  <c r="W275" i="5"/>
  <c r="S8" i="5"/>
  <c r="J7" i="21"/>
  <c r="E37" i="34"/>
  <c r="M28" i="32"/>
  <c r="W312" i="5"/>
  <c r="W311" i="5"/>
  <c r="W307" i="5"/>
  <c r="W142" i="5"/>
  <c r="W149" i="5"/>
  <c r="W159" i="5"/>
  <c r="W160" i="5"/>
  <c r="W158" i="5"/>
  <c r="W21" i="5"/>
  <c r="W191" i="5"/>
  <c r="W11" i="5"/>
  <c r="W10" i="5"/>
  <c r="W56" i="5"/>
  <c r="W227" i="5"/>
  <c r="W120" i="5"/>
  <c r="W168" i="5"/>
  <c r="W221" i="5"/>
  <c r="S4" i="5"/>
  <c r="M14" i="32"/>
  <c r="J7" i="1"/>
  <c r="E15" i="34"/>
  <c r="W222" i="5"/>
  <c r="W302" i="5"/>
  <c r="W299" i="5"/>
  <c r="W208" i="5"/>
  <c r="W82" i="5"/>
  <c r="W86" i="5"/>
  <c r="W72" i="5"/>
  <c r="W69" i="5"/>
  <c r="W75" i="5"/>
  <c r="W37" i="5"/>
  <c r="W39" i="5"/>
  <c r="W211" i="5"/>
  <c r="W6" i="5"/>
  <c r="W4" i="5"/>
  <c r="W5" i="5"/>
  <c r="W320" i="5"/>
  <c r="W259" i="5"/>
  <c r="W261" i="5"/>
  <c r="W283" i="5"/>
  <c r="W188" i="5"/>
  <c r="W198" i="5"/>
  <c r="W306" i="5"/>
  <c r="W253" i="5"/>
  <c r="W50" i="5"/>
  <c r="W128" i="5"/>
  <c r="W267" i="5"/>
  <c r="W163" i="5"/>
  <c r="W291" i="5"/>
  <c r="W154" i="5"/>
  <c r="W58" i="5"/>
  <c r="W226" i="5"/>
  <c r="W220" i="5"/>
  <c r="W300" i="5"/>
  <c r="W49" i="5"/>
  <c r="W326" i="5"/>
  <c r="W262" i="5"/>
  <c r="W35" i="5"/>
  <c r="W34" i="5"/>
  <c r="W138" i="5"/>
  <c r="W196" i="5"/>
  <c r="W179" i="5"/>
  <c r="W176" i="5"/>
  <c r="W116" i="5"/>
  <c r="W169" i="5"/>
  <c r="W290" i="5"/>
  <c r="W286" i="5"/>
  <c r="W281" i="5"/>
  <c r="W236" i="5"/>
  <c r="W189" i="5"/>
  <c r="W317" i="5"/>
  <c r="W316" i="5"/>
  <c r="W115" i="5"/>
  <c r="W204" i="5"/>
  <c r="W201" i="5"/>
  <c r="W206" i="5"/>
  <c r="W292" i="5"/>
  <c r="W182" i="5"/>
  <c r="W185" i="5"/>
  <c r="W76" i="5"/>
  <c r="W42" i="5"/>
  <c r="W43" i="5"/>
  <c r="W45" i="5"/>
  <c r="W252" i="5"/>
  <c r="W251" i="5"/>
  <c r="W256" i="5"/>
  <c r="W243" i="5"/>
  <c r="W240" i="5"/>
  <c r="W241" i="5"/>
  <c r="W230" i="5"/>
  <c r="W212" i="5"/>
  <c r="W121" i="5"/>
  <c r="W134" i="5"/>
  <c r="W126" i="5"/>
  <c r="W124" i="5"/>
  <c r="W32" i="5"/>
  <c r="W31" i="5"/>
  <c r="W30" i="5"/>
  <c r="W62" i="5"/>
  <c r="W23" i="5"/>
  <c r="W269" i="5"/>
  <c r="W276" i="5"/>
  <c r="W266" i="5"/>
  <c r="W228" i="5"/>
  <c r="W314" i="5"/>
  <c r="W313" i="5"/>
  <c r="W172" i="5"/>
  <c r="W146" i="5"/>
  <c r="W144" i="5"/>
  <c r="W294" i="5"/>
  <c r="W150" i="5"/>
  <c r="W151" i="5"/>
  <c r="W22" i="5"/>
  <c r="W14" i="5"/>
  <c r="W12" i="5"/>
  <c r="W61" i="5"/>
  <c r="W59" i="5"/>
  <c r="W114" i="5"/>
  <c r="W295" i="5"/>
  <c r="W215" i="5"/>
  <c r="W217" i="5"/>
  <c r="W214" i="5"/>
  <c r="AC3" i="29"/>
  <c r="G10" i="23" s="1"/>
  <c r="H10" i="23" s="1"/>
  <c r="I10" i="23" s="1"/>
  <c r="M2" i="29"/>
  <c r="J9" i="24" s="1"/>
  <c r="W74" i="5"/>
  <c r="S11" i="5"/>
  <c r="H22" i="34"/>
  <c r="M46" i="32"/>
  <c r="J7" i="20"/>
  <c r="W52" i="5"/>
  <c r="W81" i="5"/>
  <c r="W80" i="5"/>
  <c r="W71" i="5"/>
  <c r="W70" i="5"/>
  <c r="AC5" i="29"/>
  <c r="G14" i="23" s="1"/>
  <c r="H14" i="23" s="1"/>
  <c r="I14" i="23" s="1"/>
  <c r="M70" i="29"/>
  <c r="J77" i="24" s="1"/>
  <c r="W235" i="5"/>
  <c r="W36" i="5"/>
  <c r="W8" i="5"/>
  <c r="E32" i="34"/>
  <c r="M24" i="32"/>
  <c r="J7" i="10"/>
  <c r="S7" i="5"/>
  <c r="W321" i="5"/>
  <c r="W325" i="5"/>
  <c r="W263" i="5"/>
  <c r="W78" i="5" l="1"/>
  <c r="W19" i="5"/>
  <c r="F52" i="34" l="1"/>
  <c r="G52" i="34" s="1"/>
  <c r="C53" i="34"/>
  <c r="D53" i="34" s="1"/>
  <c r="C47" i="34"/>
  <c r="D47" i="34" s="1"/>
  <c r="F53" i="34"/>
  <c r="G53" i="34" s="1"/>
  <c r="C51" i="34"/>
  <c r="D51" i="34" s="1"/>
  <c r="F48" i="34"/>
  <c r="G48" i="34" s="1"/>
  <c r="F50" i="34"/>
  <c r="G50" i="34" s="1"/>
  <c r="C48" i="34"/>
  <c r="D48" i="34" s="1"/>
  <c r="C52" i="34"/>
  <c r="D52" i="34" s="1"/>
  <c r="C50" i="34"/>
  <c r="D50" i="34" s="1"/>
  <c r="F47" i="34"/>
  <c r="G47" i="34" s="1"/>
  <c r="C49" i="34"/>
  <c r="D49" i="34" s="1"/>
  <c r="F49" i="34"/>
  <c r="G49" i="34" s="1"/>
  <c r="F51" i="34"/>
  <c r="G51" i="34" s="1"/>
</calcChain>
</file>

<file path=xl/connections.xml><?xml version="1.0" encoding="utf-8"?>
<connections xmlns="http://schemas.openxmlformats.org/spreadsheetml/2006/main">
  <connection id="1" name="T2" type="4" refreshedVersion="0" deleted="1" background="1">
    <webPr xml="1" sourceData="1" url="C:\Users\exthuhtaot\Documents\T3.xml" htmlTables="1" htmlFormat="all"/>
  </connection>
  <connection id="2" name="T3" type="4" refreshedVersion="0" deleted="1" background="1">
    <webPr xml="1" sourceData="1" url="C:\Users\exthuhtaot\Documents\T.xml" htmlTables="1" htmlFormat="all"/>
  </connection>
</connections>
</file>

<file path=xl/sharedStrings.xml><?xml version="1.0" encoding="utf-8"?>
<sst xmlns="http://schemas.openxmlformats.org/spreadsheetml/2006/main" count="7364" uniqueCount="2743">
  <si>
    <t>RISK</t>
  </si>
  <si>
    <t>Riskienhallinta</t>
  </si>
  <si>
    <t>●</t>
  </si>
  <si>
    <t>Kyberturvallisuusriskien hallinta</t>
  </si>
  <si>
    <t>Taso</t>
  </si>
  <si>
    <t>Käytäntö</t>
  </si>
  <si>
    <t>Vastaus</t>
  </si>
  <si>
    <t>1a</t>
  </si>
  <si>
    <t>4 - Täysin toteutettu</t>
  </si>
  <si>
    <t>1b</t>
  </si>
  <si>
    <t>1c</t>
  </si>
  <si>
    <t>1d</t>
  </si>
  <si>
    <t>1e</t>
  </si>
  <si>
    <t>1f</t>
  </si>
  <si>
    <t>1g</t>
  </si>
  <si>
    <t>1h</t>
  </si>
  <si>
    <t>1i</t>
  </si>
  <si>
    <t>0 - Vastaus puuttuu</t>
  </si>
  <si>
    <t>1j</t>
  </si>
  <si>
    <t xml:space="preserve"> </t>
  </si>
  <si>
    <t>2a</t>
  </si>
  <si>
    <t>2b</t>
  </si>
  <si>
    <t>2c</t>
  </si>
  <si>
    <t>2d</t>
  </si>
  <si>
    <t>2e</t>
  </si>
  <si>
    <t>3a</t>
  </si>
  <si>
    <t>3b</t>
  </si>
  <si>
    <t>3c</t>
  </si>
  <si>
    <t>3d</t>
  </si>
  <si>
    <t>3e</t>
  </si>
  <si>
    <t>3f</t>
  </si>
  <si>
    <t>3g</t>
  </si>
  <si>
    <t>Domain</t>
  </si>
  <si>
    <t>DomainSub</t>
  </si>
  <si>
    <t>Practice</t>
  </si>
  <si>
    <t>PracticeShort</t>
  </si>
  <si>
    <t>PracticeMIL</t>
  </si>
  <si>
    <t>AnswerLevel</t>
  </si>
  <si>
    <t>AnswerBool</t>
  </si>
  <si>
    <t>H_taso</t>
  </si>
  <si>
    <t>H_käytäntöjä</t>
  </si>
  <si>
    <t>V2.0</t>
  </si>
  <si>
    <t>FINAL</t>
  </si>
  <si>
    <t>RISK-1</t>
  </si>
  <si>
    <t>RISK-1a</t>
  </si>
  <si>
    <t>RISK-1b</t>
  </si>
  <si>
    <t>RISK-1c</t>
  </si>
  <si>
    <t>RISK-2</t>
  </si>
  <si>
    <t>RISK-1d</t>
  </si>
  <si>
    <t>RISK-3</t>
  </si>
  <si>
    <t>RISK-1e</t>
  </si>
  <si>
    <t>ASSET</t>
  </si>
  <si>
    <t>RISK-1f</t>
  </si>
  <si>
    <t>ASSET-1</t>
  </si>
  <si>
    <t>RISK-1g</t>
  </si>
  <si>
    <t>ASSET-2</t>
  </si>
  <si>
    <t>RISK-1h</t>
  </si>
  <si>
    <t>ASSET-3</t>
  </si>
  <si>
    <t>RISK-1i</t>
  </si>
  <si>
    <t>ASSET-4</t>
  </si>
  <si>
    <t>CRITICAL</t>
  </si>
  <si>
    <t>RISK-1j</t>
  </si>
  <si>
    <t>ASSET-5</t>
  </si>
  <si>
    <t>RISK-2a</t>
  </si>
  <si>
    <t>ACCESS</t>
  </si>
  <si>
    <t>RISK-2b</t>
  </si>
  <si>
    <t>ACCESS-1</t>
  </si>
  <si>
    <t>RISK-2c</t>
  </si>
  <si>
    <t>ACCESS-2</t>
  </si>
  <si>
    <t>THREAT</t>
  </si>
  <si>
    <t>RISK-2d</t>
  </si>
  <si>
    <t>ACCESS-3</t>
  </si>
  <si>
    <t>SITUATION</t>
  </si>
  <si>
    <t>RISK-2e</t>
  </si>
  <si>
    <t>RESPONSE</t>
  </si>
  <si>
    <t>RISK-3a</t>
  </si>
  <si>
    <t>THREAT-1</t>
  </si>
  <si>
    <t>DEPENDENCIES</t>
  </si>
  <si>
    <t>RISK-3b</t>
  </si>
  <si>
    <t>THREAT-2</t>
  </si>
  <si>
    <t>WORKFORCE</t>
  </si>
  <si>
    <t>RISK-3c</t>
  </si>
  <si>
    <t>THREAT-3</t>
  </si>
  <si>
    <t>ARCHITECTURE</t>
  </si>
  <si>
    <t>RISK-3d</t>
  </si>
  <si>
    <t>PROGRAM</t>
  </si>
  <si>
    <t>RISK-3e</t>
  </si>
  <si>
    <t>SITUATION-1</t>
  </si>
  <si>
    <t>RISK-3f</t>
  </si>
  <si>
    <t>SITUATION-2</t>
  </si>
  <si>
    <t>RISK-3g</t>
  </si>
  <si>
    <t>SITUATION-3</t>
  </si>
  <si>
    <t>ASSET-1a</t>
  </si>
  <si>
    <t>SITUATION-4</t>
  </si>
  <si>
    <t>ASSET-1b</t>
  </si>
  <si>
    <t>ASSET-1c</t>
  </si>
  <si>
    <t>RESPONSE-1</t>
  </si>
  <si>
    <t>ASSET-1d</t>
  </si>
  <si>
    <t>RESPONSE-2</t>
  </si>
  <si>
    <t>ASSET-1e</t>
  </si>
  <si>
    <t>RESPONSE-3</t>
  </si>
  <si>
    <t>ASSET-1f</t>
  </si>
  <si>
    <t>RESPONSE-4</t>
  </si>
  <si>
    <t>ASSET-2a</t>
  </si>
  <si>
    <t>ASSET-2b</t>
  </si>
  <si>
    <t>DEPENDENCIES-1</t>
  </si>
  <si>
    <t>ASSET-2c</t>
  </si>
  <si>
    <t>DEPENDENCIES-2</t>
  </si>
  <si>
    <t>ASSET-2d</t>
  </si>
  <si>
    <t>DEPENDENCIES-3</t>
  </si>
  <si>
    <t>ASSET-2e</t>
  </si>
  <si>
    <t>ASSET-2f</t>
  </si>
  <si>
    <t>2f</t>
  </si>
  <si>
    <t>WORKFORCE-1</t>
  </si>
  <si>
    <t>ASSET-3a</t>
  </si>
  <si>
    <t>WORKFORCE-2</t>
  </si>
  <si>
    <t>ASSET-3b</t>
  </si>
  <si>
    <t>WORKFORCE-3</t>
  </si>
  <si>
    <t>ASSET-3c</t>
  </si>
  <si>
    <t>WORKFORCE-4</t>
  </si>
  <si>
    <t>ASSET-3d</t>
  </si>
  <si>
    <t>WORKFORCE-5</t>
  </si>
  <si>
    <t>ASSET-3e</t>
  </si>
  <si>
    <t>ASSET-3f</t>
  </si>
  <si>
    <t>ARCHITECTURE-1</t>
  </si>
  <si>
    <t>ASSET-4a</t>
  </si>
  <si>
    <t>4a</t>
  </si>
  <si>
    <t>ARCHITECTURE-2</t>
  </si>
  <si>
    <t>ASSET-4b</t>
  </si>
  <si>
    <t>4b</t>
  </si>
  <si>
    <t>ARCHITECTURE-3</t>
  </si>
  <si>
    <t>ASSET-4c</t>
  </si>
  <si>
    <t>4c</t>
  </si>
  <si>
    <t>ARCHITECTURE-4</t>
  </si>
  <si>
    <t>ASSET-4d</t>
  </si>
  <si>
    <t>4d</t>
  </si>
  <si>
    <t>ARCHITECTURE-5</t>
  </si>
  <si>
    <t>ASSET-4e</t>
  </si>
  <si>
    <t>4e</t>
  </si>
  <si>
    <t>ASSET-4f</t>
  </si>
  <si>
    <t>4f</t>
  </si>
  <si>
    <t>PROGRAM-1</t>
  </si>
  <si>
    <t>ASSET-5a</t>
  </si>
  <si>
    <t>5a</t>
  </si>
  <si>
    <t>PROGRAM-2</t>
  </si>
  <si>
    <t>ASSET-5b</t>
  </si>
  <si>
    <t>5b</t>
  </si>
  <si>
    <t>PROGRAM-3</t>
  </si>
  <si>
    <t>ASSET-5c</t>
  </si>
  <si>
    <t>5c</t>
  </si>
  <si>
    <t>PROGRAM-4</t>
  </si>
  <si>
    <t>ASSET-5d</t>
  </si>
  <si>
    <t>5d</t>
  </si>
  <si>
    <t>ASSET-5e</t>
  </si>
  <si>
    <t>5e</t>
  </si>
  <si>
    <t>ASSET-5f</t>
  </si>
  <si>
    <t>5f</t>
  </si>
  <si>
    <t>CRITICAL-1</t>
  </si>
  <si>
    <t>ASSET-5g</t>
  </si>
  <si>
    <t>5g</t>
  </si>
  <si>
    <t>CRITICAL-2</t>
  </si>
  <si>
    <t>ACCESS-1a</t>
  </si>
  <si>
    <t>CRITICAL-3</t>
  </si>
  <si>
    <t>ACCESS-1b</t>
  </si>
  <si>
    <t>ACCESS-1c</t>
  </si>
  <si>
    <t>ACCESS-1d</t>
  </si>
  <si>
    <t>ACCESS-1e</t>
  </si>
  <si>
    <t>ACCESS-1f</t>
  </si>
  <si>
    <t>ACCESS-1g</t>
  </si>
  <si>
    <t>ACCESS-2a</t>
  </si>
  <si>
    <t>ACCESS-2b</t>
  </si>
  <si>
    <t>ACCESS-2c</t>
  </si>
  <si>
    <t>ACCESS-2d</t>
  </si>
  <si>
    <t>ACCESS-2e</t>
  </si>
  <si>
    <t>ACCESS-2f</t>
  </si>
  <si>
    <t>ACCESS-2g</t>
  </si>
  <si>
    <t>2g</t>
  </si>
  <si>
    <t>ACCESS-2h</t>
  </si>
  <si>
    <t>2h</t>
  </si>
  <si>
    <t>ACCESS-3a</t>
  </si>
  <si>
    <t>ACCESS-3b</t>
  </si>
  <si>
    <t>ACCESS-3c</t>
  </si>
  <si>
    <t>ACCESS-3d</t>
  </si>
  <si>
    <t>ACCESS-3e</t>
  </si>
  <si>
    <t>ACCESS-3f</t>
  </si>
  <si>
    <t>ACCESS-3g</t>
  </si>
  <si>
    <t>THREAT-1a</t>
  </si>
  <si>
    <t>THREAT-1b</t>
  </si>
  <si>
    <t>THREAT-1c</t>
  </si>
  <si>
    <t>THREAT-1d</t>
  </si>
  <si>
    <t>THREAT-1e</t>
  </si>
  <si>
    <t>THREAT-1f</t>
  </si>
  <si>
    <t>THREAT-1g</t>
  </si>
  <si>
    <t>THREAT-1h</t>
  </si>
  <si>
    <t>THREAT-1i</t>
  </si>
  <si>
    <t>THREAT-1j</t>
  </si>
  <si>
    <t>THREAT-1k</t>
  </si>
  <si>
    <t>1k</t>
  </si>
  <si>
    <t>THREAT-1l</t>
  </si>
  <si>
    <t>1l</t>
  </si>
  <si>
    <t>THREAT-2a</t>
  </si>
  <si>
    <t>THREAT-2b</t>
  </si>
  <si>
    <t>THREAT-2c</t>
  </si>
  <si>
    <t>THREAT-2d</t>
  </si>
  <si>
    <t>THREAT-2e</t>
  </si>
  <si>
    <t>THREAT-2f</t>
  </si>
  <si>
    <t>THREAT-2g</t>
  </si>
  <si>
    <t>THREAT-2h</t>
  </si>
  <si>
    <t>THREAT-2i</t>
  </si>
  <si>
    <t>2i</t>
  </si>
  <si>
    <t>THREAT-2j</t>
  </si>
  <si>
    <t>2j</t>
  </si>
  <si>
    <t>THREAT-2k</t>
  </si>
  <si>
    <t>2k</t>
  </si>
  <si>
    <t>THREAT-2l</t>
  </si>
  <si>
    <t>2l</t>
  </si>
  <si>
    <t>THREAT-2m</t>
  </si>
  <si>
    <t>2m</t>
  </si>
  <si>
    <t>THREAT-3a</t>
  </si>
  <si>
    <t>THREAT-3b</t>
  </si>
  <si>
    <t>THREAT-3c</t>
  </si>
  <si>
    <t>THREAT-3d</t>
  </si>
  <si>
    <t>THREAT-3e</t>
  </si>
  <si>
    <t>THREAT-3f</t>
  </si>
  <si>
    <t>THREAT-3g</t>
  </si>
  <si>
    <t>SITUATION-1a</t>
  </si>
  <si>
    <t>SITUATION-1b</t>
  </si>
  <si>
    <t>SITUATION-1c</t>
  </si>
  <si>
    <t>SITUATION-1d</t>
  </si>
  <si>
    <t>SITUATION-2a</t>
  </si>
  <si>
    <t>SITUATION-2b</t>
  </si>
  <si>
    <t>SITUATION-2c</t>
  </si>
  <si>
    <t>SITUATION-2d</t>
  </si>
  <si>
    <t>SITUATION-2e</t>
  </si>
  <si>
    <t>SITUATION-2f</t>
  </si>
  <si>
    <t>SITUATION-2g</t>
  </si>
  <si>
    <t>SITUATION-2h</t>
  </si>
  <si>
    <t>SITUATION-2i</t>
  </si>
  <si>
    <t>SITUATION-2j</t>
  </si>
  <si>
    <t>SITUATION-3a</t>
  </si>
  <si>
    <t>SITUATION-3b</t>
  </si>
  <si>
    <t>SITUATION-3c</t>
  </si>
  <si>
    <t>SITUATION-3d</t>
  </si>
  <si>
    <t>SITUATION-3e</t>
  </si>
  <si>
    <t>SITUATION-3f</t>
  </si>
  <si>
    <t>SITUATION-3g</t>
  </si>
  <si>
    <t>SITUATION-3h</t>
  </si>
  <si>
    <t>3h</t>
  </si>
  <si>
    <t>SITUATION-4a</t>
  </si>
  <si>
    <t>SITUATION-4b</t>
  </si>
  <si>
    <t>SITUATION-4c</t>
  </si>
  <si>
    <t>SITUATION-4d</t>
  </si>
  <si>
    <t>SITUATION-4e</t>
  </si>
  <si>
    <t>SITUATION-4f</t>
  </si>
  <si>
    <t>SITUATION-4g</t>
  </si>
  <si>
    <t>4g</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</si>
  <si>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</si>
  <si>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</si>
  <si>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</si>
  <si>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</si>
  <si>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</si>
  <si>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</si>
  <si>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</si>
  <si>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</si>
  <si>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</si>
  <si>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</si>
  <si>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</si>
  <si>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</si>
  <si>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</si>
  <si>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</si>
  <si>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</si>
  <si>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</si>
  <si>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</si>
  <si>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</si>
  <si>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</si>
  <si>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</si>
  <si>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</si>
  <si>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</si>
  <si>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</si>
  <si>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</si>
  <si>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3i</t>
  </si>
  <si>
    <t>RESPONSE-3j</t>
  </si>
  <si>
    <t>3j</t>
  </si>
  <si>
    <t>RESPONSE-4a</t>
  </si>
  <si>
    <t>RESPONSE-4b</t>
  </si>
  <si>
    <t>RESPONSE-4c</t>
  </si>
  <si>
    <t>RESPONSE-4d</t>
  </si>
  <si>
    <t>RESPONSE-4e</t>
  </si>
  <si>
    <t>RESPONSE-4f</t>
  </si>
  <si>
    <t>RESPONSE-4g</t>
  </si>
  <si>
    <t>DEPENDENCIES-1a</t>
  </si>
  <si>
    <t>DEPENDENCIES-1b</t>
  </si>
  <si>
    <t>DEPENDENCIES-1c</t>
  </si>
  <si>
    <t>DEPENDENCIES-1d</t>
  </si>
  <si>
    <t>DEPENDENCIES-1e</t>
  </si>
  <si>
    <t>DEPENDENCIES-1f</t>
  </si>
  <si>
    <t>DEPENDENCIES-1g</t>
  </si>
  <si>
    <t>DEPENDENCIES-2a</t>
  </si>
  <si>
    <t>DEPENDENCIES-2b</t>
  </si>
  <si>
    <t>DEPENDENCIES-2c</t>
  </si>
  <si>
    <t>DEPENDENCIES-2d</t>
  </si>
  <si>
    <t>DEPENDENCIES-2e</t>
  </si>
  <si>
    <t>DEPENDENCIES-2f</t>
  </si>
  <si>
    <t>DEPENDENCIES-2g</t>
  </si>
  <si>
    <t>DEPENDENCIES-2h</t>
  </si>
  <si>
    <t>DEPENDENCIES-2i</t>
  </si>
  <si>
    <t>DEPENDENCIES-2j</t>
  </si>
  <si>
    <t>DEPENDENCIES-2k</t>
  </si>
  <si>
    <t>DEPENDENCIES-2l</t>
  </si>
  <si>
    <t>DEPENDENCIES-2m</t>
  </si>
  <si>
    <t>DEPENDENCIES-2n</t>
  </si>
  <si>
    <t>2n</t>
  </si>
  <si>
    <t>DEPENDENCIES-3a</t>
  </si>
  <si>
    <t>DEPENDENCIES-3b</t>
  </si>
  <si>
    <t>DEPENDENCIES-3c</t>
  </si>
  <si>
    <t>DEPENDENCIES-3d</t>
  </si>
  <si>
    <t>DEPENDENCIES-3e</t>
  </si>
  <si>
    <t>DEPENDENCIES-3f</t>
  </si>
  <si>
    <t>DEPENDENCIES-3g</t>
  </si>
  <si>
    <t>WORKFORCE-1a</t>
  </si>
  <si>
    <t>WORKFORCE-1b</t>
  </si>
  <si>
    <t>WORKFORCE-1c</t>
  </si>
  <si>
    <t>WORKFORCE-1d</t>
  </si>
  <si>
    <t>WORKFORCE-1e</t>
  </si>
  <si>
    <t>WORKFORCE-1f</t>
  </si>
  <si>
    <t>WORKFORCE-2a</t>
  </si>
  <si>
    <t>WORKFORCE-2b</t>
  </si>
  <si>
    <t>WORKFORCE-2c</t>
  </si>
  <si>
    <t>WORKFORCE-2d</t>
  </si>
  <si>
    <t>WORKFORCE-2e</t>
  </si>
  <si>
    <t>WORKFORCE-2f</t>
  </si>
  <si>
    <t>WORKFORCE-3a</t>
  </si>
  <si>
    <t>WORKFORCE-3b</t>
  </si>
  <si>
    <t>WORKFORCE-3c</t>
  </si>
  <si>
    <t>WORKFORCE-3d</t>
  </si>
  <si>
    <t>WORKFORCE-3e</t>
  </si>
  <si>
    <t>WORKFORCE-3f</t>
  </si>
  <si>
    <t>WORKFORCE-4a</t>
  </si>
  <si>
    <t>WORKFORCE-4b</t>
  </si>
  <si>
    <t>WORKFORCE-4c</t>
  </si>
  <si>
    <t>WORKFORCE-4d</t>
  </si>
  <si>
    <t>WORKFORCE-4e</t>
  </si>
  <si>
    <t>WORKFORCE-5a</t>
  </si>
  <si>
    <t>WORKFORCE-5b</t>
  </si>
  <si>
    <t>WORKFORCE-5c</t>
  </si>
  <si>
    <t>WORKFORCE-5d</t>
  </si>
  <si>
    <t>WORKFORCE-5e</t>
  </si>
  <si>
    <t>WORKFORCE-5f</t>
  </si>
  <si>
    <t>WORKFORCE-5g</t>
  </si>
  <si>
    <t>ARCHITECTURE-1a</t>
  </si>
  <si>
    <t>ARCHITECTURE-1b</t>
  </si>
  <si>
    <t>ARCHITECTURE-1c</t>
  </si>
  <si>
    <t>ARCHITECTURE-1d</t>
  </si>
  <si>
    <t>ARCHITECTURE-1e</t>
  </si>
  <si>
    <t>ARCHITECTURE-1f</t>
  </si>
  <si>
    <t>ARCHITECTURE-1g</t>
  </si>
  <si>
    <t>ARCHITECTURE-1h</t>
  </si>
  <si>
    <t>ARCHITECTURE-1i</t>
  </si>
  <si>
    <t>ARCHITECTURE-2a</t>
  </si>
  <si>
    <t>ARCHITECTURE-2b</t>
  </si>
  <si>
    <t>ARCHITECTURE-2c</t>
  </si>
  <si>
    <t>ARCHITECTURE-3a</t>
  </si>
  <si>
    <t>ARCHITECTURE-3b</t>
  </si>
  <si>
    <t>ARCHITECTURE-3c</t>
  </si>
  <si>
    <t>ARCHITECTURE-3d</t>
  </si>
  <si>
    <t>ARCHITECTURE-4a</t>
  </si>
  <si>
    <t>ARCHITECTURE-4b</t>
  </si>
  <si>
    <t>ARCHITECTURE-4c</t>
  </si>
  <si>
    <t>ARCHITECTURE-4d</t>
  </si>
  <si>
    <t>ARCHITECTURE-4e</t>
  </si>
  <si>
    <t>ARCHITECTURE-4f</t>
  </si>
  <si>
    <t>ARCHITECTURE-4g</t>
  </si>
  <si>
    <t>ARCHITECTURE-4h</t>
  </si>
  <si>
    <t>4h</t>
  </si>
  <si>
    <t>ARCHITECTURE-4i</t>
  </si>
  <si>
    <t>4i</t>
  </si>
  <si>
    <t>ARCHITECTURE-5a</t>
  </si>
  <si>
    <t>ARCHITECTURE-5b</t>
  </si>
  <si>
    <t>ARCHITECTURE-5c</t>
  </si>
  <si>
    <t>ARCHITECTURE-5d</t>
  </si>
  <si>
    <t>ARCHITECTURE-5e</t>
  </si>
  <si>
    <t>ARCHITECTURE-5f</t>
  </si>
  <si>
    <t>ARCHITECTURE-5g</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</si>
  <si>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</si>
  <si>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</si>
  <si>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</si>
  <si>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</si>
  <si>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</si>
  <si>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</si>
  <si>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</si>
  <si>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</si>
  <si>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</si>
  <si>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</si>
  <si>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</si>
  <si>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</si>
  <si>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</si>
  <si>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</si>
  <si>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</si>
  <si>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</si>
  <si>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</si>
  <si>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</si>
  <si>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PROGRAM-2k</t>
  </si>
  <si>
    <t>PROGRAM-2l</t>
  </si>
  <si>
    <t>PROGRAM-3a</t>
  </si>
  <si>
    <t>PROGRAM-3b</t>
  </si>
  <si>
    <t>PROGRAM-3c</t>
  </si>
  <si>
    <t>PROGRAM-3d</t>
  </si>
  <si>
    <t>PROGRAM-3e</t>
  </si>
  <si>
    <t>PROGRAM-3f</t>
  </si>
  <si>
    <t>PROGRAM-3g</t>
  </si>
  <si>
    <t>PROGRAM-3h</t>
  </si>
  <si>
    <t>PROGRAM-3i</t>
  </si>
  <si>
    <t>PROGRAM-3j</t>
  </si>
  <si>
    <t>PROGRAM-3k</t>
  </si>
  <si>
    <t>3k</t>
  </si>
  <si>
    <t>PROGRAM-3l</t>
  </si>
  <si>
    <t>3l</t>
  </si>
  <si>
    <t>PROGRAM-3m</t>
  </si>
  <si>
    <t>3m</t>
  </si>
  <si>
    <t>PROGRAM-4a</t>
  </si>
  <si>
    <t>PROGRAM-4b</t>
  </si>
  <si>
    <t>PROGRAM-4c</t>
  </si>
  <si>
    <t>PROGRAM-4d</t>
  </si>
  <si>
    <t>PROGRAM-4e</t>
  </si>
  <si>
    <t>PROGRAM-4f</t>
  </si>
  <si>
    <t>CRITICAL-1a</t>
  </si>
  <si>
    <t>CRITICAL-1b</t>
  </si>
  <si>
    <t>CRITICAL-1c</t>
  </si>
  <si>
    <t>CRITICAL-1d</t>
  </si>
  <si>
    <t>CRITICAL-1e</t>
  </si>
  <si>
    <t>CRITICAL-1f</t>
  </si>
  <si>
    <t>CRITICAL-1g</t>
  </si>
  <si>
    <t>CRITICAL-1h</t>
  </si>
  <si>
    <t>CRITICAL-2a</t>
  </si>
  <si>
    <t>CRITICAL-2b</t>
  </si>
  <si>
    <t>CRITICAL-2c</t>
  </si>
  <si>
    <t>CRITICAL-2d</t>
  </si>
  <si>
    <t>CRITICAL-2e</t>
  </si>
  <si>
    <t>CRITICAL-2f</t>
  </si>
  <si>
    <t>CRITICAL-2g</t>
  </si>
  <si>
    <t>CRITICAL-2h</t>
  </si>
  <si>
    <t>CRITICAL-2i</t>
  </si>
  <si>
    <t>CRITICAL-2j</t>
  </si>
  <si>
    <t>CRITICAL-2k</t>
  </si>
  <si>
    <t>CRITICAL-3a</t>
  </si>
  <si>
    <t>CRITICAL-3b</t>
  </si>
  <si>
    <t>CRITICAL-3c</t>
  </si>
  <si>
    <t>CRITICAL-3d</t>
  </si>
  <si>
    <t>CRITICAL-3e</t>
  </si>
  <si>
    <t>CRITICAL-3f</t>
  </si>
  <si>
    <t>CRITICAL-3g</t>
  </si>
  <si>
    <t>CRITICAL-3h</t>
  </si>
  <si>
    <t>REF</t>
  </si>
  <si>
    <t>GEN-ANSWER</t>
  </si>
  <si>
    <t>GEN-COMMENT</t>
  </si>
  <si>
    <t>GEN-LEVEL</t>
  </si>
  <si>
    <t>GEN-PRACTICE</t>
  </si>
  <si>
    <t>Risk Management</t>
  </si>
  <si>
    <t>RISK-0</t>
  </si>
  <si>
    <t>Establish, operate, and maintain an enterprise cybersecurity risk management program to identify, analyze, and mitigate cybersecurity risk to the organization, including its business units, subsidiaries, related interconnected infrastructure, and stakeholders.</t>
  </si>
  <si>
    <t xml:space="preserve">Manage Cybersecurity Risk </t>
  </si>
  <si>
    <t>RISK-1-0</t>
  </si>
  <si>
    <t>Managing cybersecurity risk involves framing, identifying and assessing, responding to (accepting, avoiding, mitigating, transferring), and monitoring risks in a manner that aligns with the needs of the organization. Key to performing these activities is a common understanding of the cybersecurity risk management strategy discussed above. With defined risk criteria, organizations can consistently respond to and monitor identified risks. A risk register—a list of identified risks and associated attributes—facilitates this process. Other domains in this model (Situational Awareness and Event and Incident Response; ) refer to the risk register and illustrate how the practices in the model are strengthened as they connect through a cybersecurity risk management program.</t>
  </si>
  <si>
    <t>Cybersecurity risks are identified and documented, at least in an ad hoc manner</t>
  </si>
  <si>
    <t>Risks are mitigated, accepted, avoided, or transferred (i.e., risk responses are implemented), at least in an ad hoc manner</t>
  </si>
  <si>
    <t>Risk assessments are performed to identify risks according to organization-defined triggers (e.g., time elapsed, changes to infrastructure, changes to threat environment)</t>
  </si>
  <si>
    <t>Risks are recorded in a risk register (a structured repository of identified risks)</t>
  </si>
  <si>
    <t>Risks are analyzed to select and prioritize risk responses using defined risk criteria (RISK-2b)</t>
  </si>
  <si>
    <t>Risks are tracked to ensure that risk responses are implemented and meet organizational objectives (PROGRAM-1b)</t>
  </si>
  <si>
    <t>Risk assessments include all assets and activities that are critical to the achievement of the organization’s mission</t>
  </si>
  <si>
    <t>The risk management program defines and operates risk management policies and procedures
that implement the risk management strategy</t>
  </si>
  <si>
    <t>A current cybersecurity architecture is used to inform risk analysis (ARCHITECTURE-1c)</t>
  </si>
  <si>
    <t>The risk register includes all risks identified through cybersecurity risk assessments and is used to support risk management activities</t>
  </si>
  <si>
    <t>Establish Cybersecurity Risk Management Strategy</t>
  </si>
  <si>
    <t>RISK-2-0</t>
  </si>
  <si>
    <t xml:space="preserve">A cybersecurity risk management strategy is a high-level strategy that provides direction for analyzing and prioritizing cybersecurity risk and defines risk tolerance. The cybersecurity risk management strategy includes a risk assessment methodology, risk monitoring strategy, and cybersecurity governance program. This includes defining the enterprise risk criteria (e.g., impact thresholds, risk response approaches) that guide the cybersecurity program discussed in the Cybersecurity Program Management domain later in this model. The cybersecurity risk management strategy should align with the enterprise risk management strategy to ensure that cybersecurity risk is managed in a manner that is consistent with the organization’s mission and business objectives. </t>
  </si>
  <si>
    <t>There is a documented cybersecurity risk management strategy</t>
  </si>
  <si>
    <t>Organizational risk criteria (criteria that the organization uses for evaluating, categorizing, and prioritizing operational risks based on impact, risk tolerance, and risk response capabilities) are defined and available</t>
  </si>
  <si>
    <t>The risk management strategy defines risk response options for the organization</t>
  </si>
  <si>
    <t>The risk management strategy is periodically updated to reflect the current threat environment</t>
  </si>
  <si>
    <t>An organization-specific risk taxonomy (a catalogued collection of common risks that the organization is subject to and must manage) is documented and is used in risk management activities</t>
  </si>
  <si>
    <t>Management Activities</t>
  </si>
  <si>
    <t>RISK-3-0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</si>
  <si>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</si>
  <si>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Documented practices are established, followed, and maintained for activities in the RISK domain</t>
  </si>
  <si>
    <t>Adequate resources (people, funding, and tools) are provided to support activities in the RISK domain</t>
  </si>
  <si>
    <t>Personnel performing activities in the RISK domain have the skills and knowledge needed to perform their assigned responsibilities</t>
  </si>
  <si>
    <t>Responsibility and authority for the performance of activities in the RISK domain are assigned to personnel</t>
  </si>
  <si>
    <t>Policies or other organizational directives are established and maintained that enact specific organizational requirements for the implementation of activities in the RISK domain</t>
  </si>
  <si>
    <t>Performance objectives for activities in the RISK domain are established and monitored to track achievement (PROGRAM-1b)</t>
  </si>
  <si>
    <t>Documented practices for activities in the RISK domain are standardized and improved across the enterprise</t>
  </si>
  <si>
    <t>Comment</t>
  </si>
  <si>
    <t>"Level reached"- limit</t>
  </si>
  <si>
    <t>Result must be greater than the limit [%]</t>
  </si>
  <si>
    <t>Level labels</t>
  </si>
  <si>
    <t>Management report level 1 lower limit</t>
  </si>
  <si>
    <t>result &lt; this = LEVEL 0</t>
  </si>
  <si>
    <t>Management report level 2 lower limit</t>
  </si>
  <si>
    <t>result &lt; this = LEVEL 1</t>
  </si>
  <si>
    <t>Management report level 3 lower limit</t>
  </si>
  <si>
    <t>result &lt; this = LEVEL 2, result &gt;= this  = LEVEL 3</t>
  </si>
  <si>
    <t>Answer options</t>
  </si>
  <si>
    <t>1 - Ei toteutettu</t>
  </si>
  <si>
    <t>2 - Osittain toteutettu</t>
  </si>
  <si>
    <t>3 - Enimmäkseen  toteutettu</t>
  </si>
  <si>
    <t>Critical Sector</t>
  </si>
  <si>
    <t>Ei hvk-toimiala</t>
  </si>
  <si>
    <t>Elintarvikehuolto</t>
  </si>
  <si>
    <t>Energiahuolto</t>
  </si>
  <si>
    <t>Kriittinen teollisuustuotanto</t>
  </si>
  <si>
    <t>Logistiikka</t>
  </si>
  <si>
    <t>Terveydenhuolto</t>
  </si>
  <si>
    <t>Tietoyhteiskunta</t>
  </si>
  <si>
    <t>KYBERMITTARI</t>
  </si>
  <si>
    <t>Kriittisten palveluiden ja niiden riippuvuuksien tunnistaminen</t>
  </si>
  <si>
    <t>Asset, Change and Configuration Management</t>
  </si>
  <si>
    <t>ASSET-0</t>
  </si>
  <si>
    <t>Manage the organization’s IT and OT assets, including both hardware and software, commensurate with the risk to critical infrastructure and organizational objectives.</t>
  </si>
  <si>
    <t>Manage IT and OT Asset Inventory</t>
  </si>
  <si>
    <t>ASSET-1-0</t>
  </si>
  <si>
    <t xml:space="preserve">An inventory of assets important to the delivery of the function is an important resource in managing cybersecurity risk. Recording important information, such as software version, physical location, asset owner, and priority, enables many other cybersecurity management activities. For example, a robust asset inventory can identify the deployment location of software that requires patching. </t>
  </si>
  <si>
    <t>There is an inventory of IT and OT assets that are important to the delivery of the function; management of the inventory may be ad hoc</t>
  </si>
  <si>
    <t>Inventory attributes include information to support the cybersecurity program strategy (PROGRAM-1a) (e.g., locations, asset owners, applicable cybersecurity requirements, service dependencies, service level agreements, end of life dates, end of support dates, and conformance of assets to relevant industry standards)</t>
  </si>
  <si>
    <t>Inventoried assets for the delivery of the function are prioritized based on formally defined criteria</t>
  </si>
  <si>
    <t>All IT and OT assets for the delivery of the function are inventoried</t>
  </si>
  <si>
    <t>The asset inventory is current (as defined by the organization)</t>
  </si>
  <si>
    <t>The asset inventory is used to identify cybersecurity risks (e.g., asset end of life or end of support, single points of failure)</t>
  </si>
  <si>
    <t>Manage Information Asset Inventory</t>
  </si>
  <si>
    <t>ASSET-2-0</t>
  </si>
  <si>
    <t>There is an inventory of information assets that are important to the delivery of the function (e.g., SCADA set points, customer information, financial data, log data); management of the inventory may be ad hoc</t>
  </si>
  <si>
    <t>Inventory attributes include information to support the cybersecurity program strategy (PROGRAM-1a) (e.g., storage locations, backup locations and frequencies, asset owners, applicable cybersecurity requirements, service dependencies, service level agreements)</t>
  </si>
  <si>
    <t>Inventoried information assets are categorized based on a defined scheme</t>
  </si>
  <si>
    <t>There is an inventory for all information assets related to the delivery of the function</t>
  </si>
  <si>
    <t>The asset inventory is used to identify cybersecurity risks (e.g., risk of disclosure, risk of destruction, risk of tampering)</t>
  </si>
  <si>
    <t>Manage Asset Configuration</t>
  </si>
  <si>
    <t>ASSET-3-0</t>
  </si>
  <si>
    <t>Managing asset configuration involves defining a configuration baseline for information assets, IT assets, and OT assets and ensuring that these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</si>
  <si>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Configuration baselines are established, at least in an ad hoc manner, for inventoried assets where it is desirable to ensure that multiple assets are configured similarly</t>
  </si>
  <si>
    <t>Configuration baselines are used, at least in an ad hoc manner, to configure assets at deployment and restoration</t>
  </si>
  <si>
    <t>The design of configuration baselines includes cybersecurity objectives (PROGRAM-1b)</t>
  </si>
  <si>
    <t>Asset configurations are monitored for consistency with baselines throughout the assets’ lifecycles</t>
  </si>
  <si>
    <t>Configuration baselines are reviewed and updated at an organization-defined frequency</t>
  </si>
  <si>
    <t>Vakioidut perusasetukset katselmoidaan ja päivitetään organisaation määrittelemin aikavälein.</t>
  </si>
  <si>
    <t>Configuration baselines incorporate requirements from the applicable security zone (ARCHITECTURE-2b) (e.g., network appliance configurations are tailored to the traffic restrictions for the zone)</t>
  </si>
  <si>
    <t>Manage Changes to Assets</t>
  </si>
  <si>
    <t>ASSET-4-0</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</si>
  <si>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 cycle, including requirements definition, testing, deployment and maintenance, and retirement from operation.</t>
  </si>
  <si>
    <t>Changes to inventoried assets are evaluated before being implemented, at least in an ad hoc manner</t>
  </si>
  <si>
    <t>Changes to inventoried assets are logged, at least in an ad hoc manner</t>
  </si>
  <si>
    <t>Changes to assets are tested prior to being deployed, whenever possible</t>
  </si>
  <si>
    <t>Change management practices address the full life cycle of assets (i.e., acquisition, deployment,
operation, retirement)</t>
  </si>
  <si>
    <t>Muutostenhallintakäytännöt kattavat suojattavien kohteiden koko elinkaaren (hankinta, käyttöönotto, käyttö, käytöstä poisto).</t>
  </si>
  <si>
    <t>Changes to assets are tested for cybersecurity impact prior to being deployed</t>
  </si>
  <si>
    <t>Change logs include information about modifications that impact the cybersecurity requirements of
assets (availability, integrity, confidentiality)</t>
  </si>
  <si>
    <t>ASSET-5-0</t>
  </si>
  <si>
    <t>Documented practices are established, followed, and maintained for activities in the ASSET domain</t>
  </si>
  <si>
    <t>Adequate resources (people, funding, and tools) are provided to support activities in the ASSET domain</t>
  </si>
  <si>
    <t>Personnel performing activities in the ASSET domain have the skills and knowledge needed to perform their assigned responsibilities</t>
  </si>
  <si>
    <t>Responsibility and authority for the performance of activities in the ASSET domain are assigned to personnel</t>
  </si>
  <si>
    <t>Policies or other organizational directives are established and maintained that enact specific organizational requirements for the implementation of activities in the ASSET domain</t>
  </si>
  <si>
    <t>Performance objectives for activities in the ASSET domain are established and monitored to track achievement (PROGRAM-1b)</t>
  </si>
  <si>
    <t>Documented practices for activities in the ASSET domain are standardized and improved across the enterprise</t>
  </si>
  <si>
    <t>Identity and Access Management</t>
  </si>
  <si>
    <t>ACCESS-0</t>
  </si>
  <si>
    <t>Create and manage identities for entities that may be granted logical or physical access to the organization’s assets. Control access to the organization’s assets, commensurate with the risk to critical infrastructure and organizational objectives.</t>
  </si>
  <si>
    <t>Establish and Maintain Identities</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</si>
  <si>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</si>
  <si>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</si>
  <si>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Identities are provisioned, at least in an ad hoc manner, for personnel and other entities (e.g., services, devices) that require access to assets (note that this does not preclude shared identities)</t>
  </si>
  <si>
    <t>Credentials are issued for personnel and other entities that require access to assets (e.g., passwords, smart cards, certificates, keys, lock combinations), at least in an ad hoc manner</t>
  </si>
  <si>
    <t>Identities are deprovisioned, at least in an ad hoc manner, when no longer required</t>
  </si>
  <si>
    <t>Identity repositories are reviewed and updated to ensure accuracy, at an organization-defined frequency</t>
  </si>
  <si>
    <t>Credentials are periodically reviewed to ensure that they are associated with the correct person or entity</t>
  </si>
  <si>
    <t>Identities are deprovisioned within organization-defined time thresholds when no longer required</t>
  </si>
  <si>
    <t>Requirements for credentials are based on the organization’s risk criteria (RISK-2b) (e.g., multifactor credentials for higher risk access) and cybersecurity architecture (e.g., credential requirements for accessing security zones (ARCHITECTURE-2b))</t>
  </si>
  <si>
    <t>Control Access</t>
  </si>
  <si>
    <t>ACCESS-2-0</t>
  </si>
  <si>
    <t>Controlling access includes determining access requirements, granting access to assets based on those requirements, and revoking access when it is no longer required. Access requirements are associated with assets and provide guidance for which types of entities are allowed to access the asset, the limits of allowed access, and authentication parameters. For example, the access requirements for a specific asset might allow remote access by a vendor only during specified and preplanned maintenance intervals, and might also require multifactor authentication for such access. At higher maturity indicator levels, more scrutiny is applied to the access being granted. Access is granted only after considering risk to the function, and regular reviews of access are conducted.</t>
  </si>
  <si>
    <t>Access requirements (e.g., rules for which types of entities are allowed to access an asset, the limits of allowed access, constraints on remote access, and authentication parameters) are determined, at least in an ad hoc manner</t>
  </si>
  <si>
    <t>Access is granted to identities based on the access requirements, at least in an ad hoc manner</t>
  </si>
  <si>
    <t>Access is revoked when no longer required, at least in an ad hoc manner</t>
  </si>
  <si>
    <t>Access requirements incorporate least privilege and separation of duties principles</t>
  </si>
  <si>
    <t>Access requests are reviewed and approved by the asset owner</t>
  </si>
  <si>
    <t>Root-oikeudet, järjestelmävalvojan oikeudet, hätäoikeudet ja jaetut tunnukset tarkistetaan ja hyväksytään tarkemmalla menettelyllä kuin normaalit oikeudet ja niiden käyttöä valvotaan tarkemmin.</t>
  </si>
  <si>
    <t>Access privileges are reviewed and updated to ensure conformance with access requirements, at an organization-defined frequency</t>
  </si>
  <si>
    <t>Anomalous access attempts are monitored as indicators of cybersecurity events</t>
  </si>
  <si>
    <t>ACCESS-3-0</t>
  </si>
  <si>
    <t>Documented practices are established, followed, and maintained for activities in the ACCESS domain</t>
  </si>
  <si>
    <t>Adequate resources (people, funding, and tools) are provided to support activities in the ACCESS domain</t>
  </si>
  <si>
    <t>Personnel performing activities in the ACCESS domain have the skills and knowledge needed to perform their assigned responsibilities</t>
  </si>
  <si>
    <t>Responsibility and authority for the performance of activities in the ACCESS domain are assigned to personnel</t>
  </si>
  <si>
    <t>Policies or other organizational directives are established and maintained that enact specific organizational requirements for the implementation of activities in the ACCESS domain</t>
  </si>
  <si>
    <t>Performance objectives for activities in the ACCESS domain are established and monitored to track achievement (PROGRAM-1b)</t>
  </si>
  <si>
    <t>Documented practices for activities in the ACCESS domain are standardized and improved across the enterprise</t>
  </si>
  <si>
    <t>Kyberturvallisuuden kypsyystaso</t>
  </si>
  <si>
    <t>ID</t>
  </si>
  <si>
    <t>Identification of Critical Services and their dependencies</t>
  </si>
  <si>
    <t>Organization provided services that are critical to the society (critical services), have been identified and documented.</t>
  </si>
  <si>
    <t>The data needed to provide the critical services, has been mapped and documented.</t>
  </si>
  <si>
    <t>The processes needed to provide the critical services, have been mapped and documented.</t>
  </si>
  <si>
    <t>The systems (IT and OT assets) needed to provide the critical services, have been mapped and documented.</t>
  </si>
  <si>
    <t>The facilities needed to provide the critical services, have been mapped and documented.</t>
  </si>
  <si>
    <t>The supply chain needed to provide the critical services, has been mapped and documented.</t>
  </si>
  <si>
    <t>The period of time how quickly the failure of resources (data, processes, systems, facilities, supply chain) needed by critical services, would have a significant impact on the normal operation of the society, has been determined and documented.</t>
  </si>
  <si>
    <t>The cascade effects across the society of a degraded or failed critical services have been identified and documented.</t>
  </si>
  <si>
    <t>Governance of Critical Services</t>
  </si>
  <si>
    <t>Kriittisten palveluiden hallinta</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</si>
  <si>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</si>
  <si>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All resources (data, processes, systems, facilities, supply chain) that are needed to provide the services critical to the society, are within the scope of the organization's security management policies and processes.</t>
  </si>
  <si>
    <t>All resources (data, processes, systems, facilities, supply chain) that are needed to provide the services critical to the society, are within the scope of the organization's risk management policies and processes.</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</si>
  <si>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</si>
  <si>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Regular board discussions on the security of network and information systems supporting the delivery of your services critical to the society take place, based on timely and accurate information and informed by expert guidance.</t>
  </si>
  <si>
    <t>There is a board-level individual who has overall accountability for the security of networks and information systems needed by the critical services and drives regular discussion at board-level.</t>
  </si>
  <si>
    <t>Direction set at board level is translated into effective organisational practices that direct and control the security of the networks and information systems supporting your critical services.</t>
  </si>
  <si>
    <t>Senior management have visibility of key risk decisions made throughout the organisation.</t>
  </si>
  <si>
    <t>Risk management decision-makers understand their responsibilities for making effective and timely decisions in the context of the risk appetite regarding the essential service, as set by senior management.</t>
  </si>
  <si>
    <t>Risk management decision-making is delegated and escalated where necessary, across the organisation, to people who have the skills, knowledge, tools, and authority they need.</t>
  </si>
  <si>
    <t>Risk management decisions are periodically reviewed to ensure their continued relevance and validity.</t>
  </si>
  <si>
    <t>The risk management process takes into account the resources (data, processes, systems, facilities, supply chain), critical period of time and cascade effects.</t>
  </si>
  <si>
    <t>Minimisation of the impact of cyber security incidents on Critical Services</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</si>
  <si>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</si>
  <si>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Your response plan covers all of your critical services.</t>
  </si>
  <si>
    <t>Your response plan comprehensively covers scenarios that are focused on likely impacts of known and well-understood attacks only.</t>
  </si>
  <si>
    <t>Your response plan is understood by all staff who are involved with your organisation's response function</t>
  </si>
  <si>
    <t>Your response plan is documented and shared with all relevant stakeholders</t>
  </si>
  <si>
    <t>Your incident response plan is based on a clear understanding of the security risks to the networks and information systems supporting your essential service .</t>
  </si>
  <si>
    <t>Your incident response plan is comprehensive (i.e. covers the complete lifecycle of an incident, roles and responsibilities, and reporting) and covers likely impacts of both known attack patterns and of possible attacks, previously unseen.</t>
  </si>
  <si>
    <t>Your incident response plan is documented and integrated with wider organisational business and supply chain response plans.</t>
  </si>
  <si>
    <t>Your incident response plan is communicated and understood by the business areas involved with the supply or maintenance of your essential services.</t>
  </si>
  <si>
    <t>Toimiala</t>
  </si>
  <si>
    <t>2. Huomattava systeeminen vaikutus</t>
  </si>
  <si>
    <t>Cybersecurity Architecture</t>
  </si>
  <si>
    <t>Kyberturvallisuusarkkitehtuuri</t>
  </si>
  <si>
    <t>ARCHITECTURE-0</t>
  </si>
  <si>
    <t>Establish and maintain the structure and behavior of the organization’s cybersecurity controls, processes, and other elements, commensurate with the risk to critical infrastructure and organizational objectives.</t>
  </si>
  <si>
    <t>Establish and Maintain Cybersecurity Architecture Strategy and Program</t>
  </si>
  <si>
    <t>ARCHITECTURE-1-0</t>
  </si>
  <si>
    <t>The organization has a strategy for cybersecurity architecture, which may be developed and/or managed in an ad hoc manner</t>
  </si>
  <si>
    <t>A strategy for cybersecurity architecture is established and maintained to support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</si>
  <si>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</si>
  <si>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Governance for cybersecurity architecture is established and maintained that includes provisions for periodic architectural reviews and an exceptions process (e.g., an architecture review board)</t>
  </si>
  <si>
    <t>The cybersecurity architecture incorporates confidentiality, integrity, and availability requirements for the function’s assets</t>
  </si>
  <si>
    <t>The cybersecurity architecture incorporates cybersecurity principles (e.g., least functionality, default deny, least privilege)</t>
  </si>
  <si>
    <t>The cybersecurity architecture strategy and program are aligned with the organization’s enterprise architecture strategy and program</t>
  </si>
  <si>
    <t>Conformance of the organization’s systems and networks to the cybersecurity architecture is evaluated according to organization-defined triggers (e.g., time elapsed, changes to systems, networks, or assets)</t>
  </si>
  <si>
    <t>The cybersecurity architecture is guided by the information from the organization’s risk taxonomy (RISK-2e) and threat profile (THREAT-1d) to support the implementation of protections against identified threats</t>
  </si>
  <si>
    <t>Implement Segmentation as an Element of the Cybersecurity Architecture</t>
  </si>
  <si>
    <t>ARCHITECTURE-2-0</t>
  </si>
  <si>
    <t>The organization’s IT systems are separated from OT systems through segmentation, either through physical means (e.g., air gaps) or logical means (e.g., network configuration or appliances), at least in an ad hoc manner</t>
  </si>
  <si>
    <t>Assets that are important to the delivery of the function are segmented into multiple security zones based on criteria defined in the cybersecurity architecture (e.g., risk analysis results, security requirements, remote access, functional requirements)</t>
  </si>
  <si>
    <t>All assets are segmented into security zones based on criteria defined in the cybersecurity architecture</t>
  </si>
  <si>
    <t>Implement Application Security as an Element of the Cybersecurity Architecture</t>
  </si>
  <si>
    <t>ARCHITECTURE-3-0</t>
  </si>
  <si>
    <t>Software developed in-house that is to be deployed on assets that are important to the delivery of the function is developed using secure software development practices</t>
  </si>
  <si>
    <t>The selection of procured software (e.g., mobile applications, applications to be hosted on premises, software-as-a-service applications) to be deployed on assets that are important to the delivery of the function includes consideration of the vendor’s secure software development practices (DEPENDENCIES-2e)</t>
  </si>
  <si>
    <t>The architecture review process evaluates the security of new and revised applications prior to deployment (ARCHITECTURE-1h)</t>
  </si>
  <si>
    <t>Security testing (e.g., static testing, dynamic testing, fuzz testing, penetration testing) is performed for in-house-developed and in-house-tailored applications based on identified risk according to organization-defined triggers (e.g., time elapsed, changes to applications, changes to threat environment)</t>
  </si>
  <si>
    <t>Implement Data Security as an Element of the Cybersecurity Architecture</t>
  </si>
  <si>
    <t>ARCHITECTURE-4-0</t>
  </si>
  <si>
    <t>Sensitive data (e.g., PII, PCI, PHI, CEII, IP, operations data) is protected at rest (e.g., encrypted, masked, password-protected, subject to access control lists) at least in an ad hoc manner</t>
  </si>
  <si>
    <t>Sensitive data (e.g., PII, PCI, PHI, CEII, IP, operations data) is protected in transit (e.g., encrypted, masked, transmitted using protected mechanisms) at least in an ad hoc manner (ASSET-2c)</t>
  </si>
  <si>
    <t>Key management infrastructure (i.e., key generation, key storage, key destruction, key update, and key revocation) are established and maintained to support the protection of data-at-rest and data-in-transit</t>
  </si>
  <si>
    <t>Cryptographic controls are established and maintained to support the protection of data-at-rest and data-in-transit as required in the cybersecurity architecture</t>
  </si>
  <si>
    <t>The cybersecurity architecture includes controls (e.g., data loss prevention tools, physical data exfiltration controls) to manage the transmission of data within and between systems based on security requirements (ARCHITECTURE-1e)</t>
  </si>
  <si>
    <t>The cybersecurity architecture includes protections for all data-at-rest (i.e., on-premise and cloud-based file storage and databases) for selected data categories (ASSET-2c)</t>
  </si>
  <si>
    <t>The cybersecurity architecture includes protections for all data-in-transit (e.g., within internal networks, across network boundaries, and external traffic, including cloud solutions) for selected data categories (ASSET-2c)</t>
  </si>
  <si>
    <t>Data protections are tested (e.g., controls validation) according to organization-defined triggers (e.g., time elapsed, changes to system architecture, changes to threat environment)</t>
  </si>
  <si>
    <t>The cybersecurity architecture includes protections against unauthorized changes to software, firmware, and information (due to errors or malicious activity)</t>
  </si>
  <si>
    <t>ARCHITECTURE-5-0</t>
  </si>
  <si>
    <t>Documented practices are established, followed, and maintained for activities in the ARCHITECTURE domain</t>
  </si>
  <si>
    <t>Adequate resources (people, funding, and tools) are provided to support activities in the ARCHITECTURE domain</t>
  </si>
  <si>
    <t>Personnel performing activities in the ARCHITECTURE domain have the skills and knowledge needed to perform their assigned responsibilities</t>
  </si>
  <si>
    <t>Responsibility and authority for the performance of activities in the ARCHITECTURE domain are assigned to personnel</t>
  </si>
  <si>
    <t>Policies or other organizational directives are established and maintained that enact specific organizational requirements for the implementation of activities in the ARCHITECTURE domain</t>
  </si>
  <si>
    <t>Performance objectives for activities in the ARCHITECTURE domain are established and monitored to track achievement (PROGRAM-1b)</t>
  </si>
  <si>
    <t>Documented practices for activities in the ARCHITECTURE domain are standardized and improved across the enterprise</t>
  </si>
  <si>
    <t>Cybersecurity Program Management</t>
  </si>
  <si>
    <t>PROGRAM-0</t>
  </si>
  <si>
    <t>Establish and maintain an enterprise cybersecurity program that provides governance, strategic planning, and sponsorship for the organization’s cybersecurity activities in a manner that aligns cybersecurity objectives with the organization’s strategic objectives and the risk to critical infrastructure.</t>
  </si>
  <si>
    <t>Establish Cybersecurity Program Strategy</t>
  </si>
  <si>
    <t>Kyberturvallisuusstrategia</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</si>
  <si>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</si>
  <si>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</si>
  <si>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The organization has a cybersecurity program strategy, which may be developed and/or managed in an ad hoc manner</t>
  </si>
  <si>
    <t>The cybersecurity program strategy defines objectives for the organization’s cybersecurity activities</t>
  </si>
  <si>
    <t>The cybersecurity program strategy defines the organization’s approach to provide program oversight
and governance for cybersecurity activities</t>
  </si>
  <si>
    <t>The cybersecurity program strategy defines the structure and organization of the cybersecurity program</t>
  </si>
  <si>
    <t>The cybersecurity program strategy identifies standards and/or guidelines intended to be followed by the program</t>
  </si>
  <si>
    <t>The cybersecurity program strategy identifies any applicable compliance requirements that must be satisfied by the program</t>
  </si>
  <si>
    <t>The cybersecurity program strategy is updated to reflect business changes, changes in the operating environment, and changes in the threat profile (THREAT-1d)</t>
  </si>
  <si>
    <t>Sponsor Cybersecurity Program</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</si>
  <si>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</si>
  <si>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</si>
  <si>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Resources (people, funding, and tools) are provided, at least in an ad hoc manner, to establish the cybersecurity program</t>
  </si>
  <si>
    <t>Senior management, with proper authority, provides support for the cybersecurity program, at least in an ad hoc manner</t>
  </si>
  <si>
    <t>The cybersecurity program is established according to the cybersecurity program strategy</t>
  </si>
  <si>
    <t>Adequate resources (people, funding, and tools) are provided to operate a cybersecurity program aligned with the program strategy</t>
  </si>
  <si>
    <t>Senior management sponsorship for the cybersecurity program is visible and active (e.g., the
importance and value of cybersecurity activities is regularly communicated by senior management)</t>
  </si>
  <si>
    <t>Senior management sponsorship is provided for the development, maintenance, and enforcement of cybersecurity policies</t>
  </si>
  <si>
    <t>Responsibility for the cybersecurity program is assigned to a role with requisite authority</t>
  </si>
  <si>
    <t>Stakeholders for cybersecurity program management activities are identified and involved</t>
  </si>
  <si>
    <t>The performance of the cybersecurity program is monitored to ensure it aligns with the cybersecurity
program strategy</t>
  </si>
  <si>
    <t>Cybersecurity activities are independently reviewed (i.e., by reviewers outside the cybersecurity program under direction from the organization's governing body) to ensure conformance with cybersecurity policies and procedures</t>
  </si>
  <si>
    <t>The organization collaborates with external entities to contribute to the development and implementation of cybersecurity standards, guidelines, leading practices, lessons learned, and emerging technologies</t>
  </si>
  <si>
    <t>Address Cybersecurity in Continuity of Operations</t>
  </si>
  <si>
    <t>PROGRAM-3-0</t>
  </si>
  <si>
    <t>The cybersecurity program and continuity of operations planning activities should be aligned with one another. This alignment is important to ensure that continuity plans are suitable to sustain and restore operations following a cyber event. Ensuring that continuity plans address potential cyber incidents requires consideration of known cyber threats and identified categories of cyber risk. Continuity plan testing should include cyber incident scenarios to ensure that the plans will function as intended during such an incident.</t>
  </si>
  <si>
    <t>Continuity plans are developed to sustain and restore operation of the function if a cyber event or incident occurs, at least in an ad hoc manner</t>
  </si>
  <si>
    <t>Backups of IT, OT, and information assets are available and tested, at least in an ad hoc manner</t>
  </si>
  <si>
    <t>An analysis of the impacts from potential cyber events informs the development of continuity plans</t>
  </si>
  <si>
    <t>The assets and activities necessary to sustain minimum operations of the function are identified and documented in continuity plans</t>
  </si>
  <si>
    <t>Continuity plans address IT, OT, and information assets important to the delivery of the function, including the availability of backup data and replacement, redundant, and spare IT and OT assets</t>
  </si>
  <si>
    <t>Continuity plans are tested through evaluations and exercises (e.g., walkthroughs, tabletops, dependency testing, testing backups and spares) at an organization-defined frequency</t>
  </si>
  <si>
    <t>Recovery time objectives (RTOs) and recovery point objectives (RPOs) for assets important to the delivery of the function are incorporated into continuity plans</t>
  </si>
  <si>
    <t>Cybersecurity incident criteria that trigger the execution of continuity plans are established and communicated to incident response and continuity management functions</t>
  </si>
  <si>
    <t>Continuity plans are tested through evaluations and exercises at an organization-defined frequency and include current cyber threat scenarios</t>
  </si>
  <si>
    <t>Continuity plans are aligned with the function’s risk taxonomy (RISK-2e) and threat profile (THREAT-1d) to ensure coverage of identified risk categories and threats</t>
  </si>
  <si>
    <t>The results of continuity plan testing or activation are compared to recovery objectives, and plans are improved accordingly</t>
  </si>
  <si>
    <t>Cybersecurity incident content within continuity plans is periodically reviewed and updated</t>
  </si>
  <si>
    <t>Continuity plans are periodically reviewed and updated</t>
  </si>
  <si>
    <t>PROGRAM-4-0</t>
  </si>
  <si>
    <t>Documented practices are established, followed, and maintained for activities in the PROGRAM domain</t>
  </si>
  <si>
    <t>Personnel performing activities in the PROGRAM domain have the skills and knowledge needed to perform their assigned responsibilities</t>
  </si>
  <si>
    <t>Responsibility and authority for the performance of activities in the PROGRAM domain are assigned to personnel</t>
  </si>
  <si>
    <t>Policies or other organizational directives are established and maintained that enact specific organizational requirements for the implementation of activities in the PROGRAM domain</t>
  </si>
  <si>
    <t>Performance objectives for activities in the PROGRAM domain are established and monitored to track achievement</t>
  </si>
  <si>
    <t>Documented practices for activities in the PROGRAM domain are standardized and improved across the enterprise</t>
  </si>
  <si>
    <t>Supply Chain and External Dependencies Management</t>
  </si>
  <si>
    <t>Toimitusketjun ja ulkoisten riippuvuuksien hallinta</t>
  </si>
  <si>
    <t>DEPENDENCIES-0</t>
  </si>
  <si>
    <t>Establish and maintain controls to manage the cybersecurity risks associated with services and assets that are dependent on external entities, commensurate with the risk to critical infrastructure and organizational objectives.</t>
  </si>
  <si>
    <t>Identify Dependencies</t>
  </si>
  <si>
    <t>Riippuvuuksien tunnistaminen</t>
  </si>
  <si>
    <t>DEPENDENCIES-1-0</t>
  </si>
  <si>
    <t>Identifying dependencies involves establishing and maintaining a comprehensive understanding of the key external relationships required for the delivery of the function.</t>
  </si>
  <si>
    <t>Important IT and OT supplier dependencies are identified (i.e., internal and external parties on which the delivery of the function depends, including operating partners), at least in an ad hoc manner</t>
  </si>
  <si>
    <t>Important customer dependencies are identified (i.e., internal and external parties that are dependent on the delivery of the function, including operating partners), at least in an ad hoc manner</t>
  </si>
  <si>
    <t>Supplier dependencies are identified according to established criteria</t>
  </si>
  <si>
    <t>Customer dependencies are identified according to established criteria</t>
  </si>
  <si>
    <t>Single-source and other essential dependencies are identified</t>
  </si>
  <si>
    <t>Dependencies are prioritized</t>
  </si>
  <si>
    <t>Dependency prioritization and identification are based on defined risk criteria (RISK-2b)</t>
  </si>
  <si>
    <t>Manage Dependency Risk</t>
  </si>
  <si>
    <t>Riippuvuusriskien hallinta</t>
  </si>
  <si>
    <t>DEPENDENCIES-2-0</t>
  </si>
  <si>
    <t>Managing dependency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cybersecurity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</si>
  <si>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Significant cybersecurity risks due to suppliers and other dependencies are identified and addressed, at least in an ad hoc manner</t>
  </si>
  <si>
    <t>Cybersecurity requirements are considered when establishing relationships with suppliers and other third parties, at least in an ad hoc manner</t>
  </si>
  <si>
    <t>Identified cybersecurity dependency risks are entered into the risk register (RISK-1d)</t>
  </si>
  <si>
    <t>Contracts and agreements with third parties incorporate sharing of cybersecurity threat information</t>
  </si>
  <si>
    <t>Agreements with suppliers and other external entities include cybersecurity requirements</t>
  </si>
  <si>
    <t>Cybersecurity requirements are established for supplier dependencies based on defined risk criteria (RISK-2b)</t>
  </si>
  <si>
    <t>Vendor selection criteria include consideration of end-of-life and end-of-support timelines</t>
  </si>
  <si>
    <t>Vendor selection criteria include consideration of safeguards against counterfeit or compromised software, hardware, and services</t>
  </si>
  <si>
    <t>Information sources are monitored to identify and avoid supply chain risks (e.g., counterfeit or compromised software, hardware, and services)</t>
  </si>
  <si>
    <t>Acceptance testing of procured assets includes testing for cybersecurity requirements</t>
  </si>
  <si>
    <t>DEPENDENCIES-3-0</t>
  </si>
  <si>
    <t>Documented practices are established, followed, and maintained for activities in the DEPENDENCIES domain</t>
  </si>
  <si>
    <t>Adequate resources (people, funding, and tools) are provided to support activities in the DEPENDENCIES domain</t>
  </si>
  <si>
    <t>Personnel performing activities in the DEPENDENCIES domain have the skills and knowledge needed to perform their assigned responsibilities</t>
  </si>
  <si>
    <t>Responsibility and authority for the performance of activities in the DEPENDENCIES domain are assigned to personnel</t>
  </si>
  <si>
    <t>Policies or other organizational directives are established and maintained that enact specific organizational requirements for the implementation of activities in the DEPENDENCIES domain</t>
  </si>
  <si>
    <t>Performance objectives for activities in the DEPENDENCIES domain are established and monitored to track achievement (PROGRAM-1b)</t>
  </si>
  <si>
    <t>Documented practices for activities in the DEPENDENCIES domain are standardized and improved across the enterprise</t>
  </si>
  <si>
    <t>Threat and Vulnerability Management</t>
  </si>
  <si>
    <t>Uhkien ja haavoittuvuuksien hallinta</t>
  </si>
  <si>
    <t>THREAT-0</t>
  </si>
  <si>
    <t>Establish and maintain plans, procedures, and technologies to detect, identify, analyze, manage, and respond to cybersecurity threats and vulnerabilities, commensurate with the risk to the organization’s infrastructure (e.g., critical, IT, operational) and organizational objectives.</t>
  </si>
  <si>
    <t>Identify and Respond to Threats</t>
  </si>
  <si>
    <t>Uhkien tunnistaminen ja hallinta</t>
  </si>
  <si>
    <t>THREAT-1-0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</si>
  <si>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</si>
  <si>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Internal and external information sources to support threat management activities (e.g., NCCIC, appropriate ISACs, industry associations, vendors, federal briefings) are identified, at least in an ad hoc manner</t>
  </si>
  <si>
    <t>Cybersecurity threat information is gathered and interpreted for the function, at least in an ad hoc manner</t>
  </si>
  <si>
    <t>Threats that are relevant to the delivery of the function are addressed (e.g., implement mitigating controls, monitor threat status), at least in an ad hoc manner</t>
  </si>
  <si>
    <t>A threat profile for the function is established (e.g., characterization of potential threat actors, motives, intent, capabilities, and targets)</t>
  </si>
  <si>
    <t>Threat information sources that collectively address all components of the threat profile are prioritized and monitored</t>
  </si>
  <si>
    <t>Identified threats are analyzed and prioritized and are addressed accordingly</t>
  </si>
  <si>
    <t>Cybersecurity threat information is provided to selected individuals and/or organizations</t>
  </si>
  <si>
    <t>The threat profile for the function is updated at an organization-defined frequency</t>
  </si>
  <si>
    <t>Uhkaprofiili päivitetään organisaation määrittelemin aikavälein.</t>
  </si>
  <si>
    <t>Threats that pose ongoing risk to the function are referred to the risk management process for action (RISK-1e)</t>
  </si>
  <si>
    <t>Threat monitoring and response activities leverage and trigger predefined states of operation (SITUATION-3h)</t>
  </si>
  <si>
    <t>Threat information-sharing stakeholders are identified and engaged based on their relevance to the continued operation of the function (e.g., government, connected organizations, vendors, sector organizations, regulators, information sharing and analysis centers (ISACs), internal entities)</t>
  </si>
  <si>
    <t>Secure, automated workflows are used to publish, consume, analyze, and act upon cyber threat information</t>
  </si>
  <si>
    <t>Reduce Cybersecurity Vulnerabilities</t>
  </si>
  <si>
    <t>THREAT-2-0</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</si>
  <si>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exposed asset to the delivery of the function. Vulnerabilities may be addressed by implementing mitigating controls, monitoring threat status, applying cybersecurity patches, or through other activities.</t>
  </si>
  <si>
    <t>Information sources to support cybersecurity vulnerability discovery are identified (e.g., NCCIC, appropriate ISACs, industry associations, vendors, federal briefings, internal assessments), at least in an ad hoc manner</t>
  </si>
  <si>
    <t>Cybersecurity vulnerability information is gathered and interpreted for the function, at least in an ad hoc manner</t>
  </si>
  <si>
    <t>Cybersecurity vulnerability assessments (e.g., end-of-life and end-of-support asset review, software-based scans, penetration tests) are performed, at least in an ad hoc manner</t>
  </si>
  <si>
    <t>Cybersecurity vulnerabilities that are relevant to the delivery of the function are addressed (e.g., implement mitigating controls, apply cybersecurity patches), at least in an ad hoc manner</t>
  </si>
  <si>
    <t>Cybersecurity vulnerability information sources that collectively address all assets important to the function are monitored</t>
  </si>
  <si>
    <t>Cybersecurity vulnerability assessments are performed at an organization-defined frequency</t>
  </si>
  <si>
    <t>Identified cybersecurity vulnerabilities are analyzed and prioritized (e.g., the NIST Common Vulnerability Scoring System could be used for software vulnerabilities; internal guidelines could be used to prioritize other types of vulnerabilities) and are addressed accordingly</t>
  </si>
  <si>
    <t>Operational impact to the function is evaluated prior to deploying patches</t>
  </si>
  <si>
    <t>Information on any discovered cybersecurity vulnerabilities is shared with organization-defined stakeholders</t>
  </si>
  <si>
    <t>Cybersecurity vulnerability assessments are performed for all assets important to the delivery of the function at an organization-defined frequency</t>
  </si>
  <si>
    <t>Cybersecurity vulnerability assessments are performed by parties that are independent of the operations of the function</t>
  </si>
  <si>
    <t>Identified vulnerabilities that pose ongoing risk to the function are referred to the risk management process for response (RISK-1e)</t>
  </si>
  <si>
    <t>Ongoing risk monitoring includes review and confirmation of actions taken in response to cybersecurity vulnerabilities (e.g., deployment of patches or other activities) where appropriate</t>
  </si>
  <si>
    <t>THREAT-3-0</t>
  </si>
  <si>
    <t>Documented practices are established, followed, and maintained for activities in the THREAT domain</t>
  </si>
  <si>
    <t>Adequate resources (people, funding, and tools) are provided to support activities in the THREAT domain</t>
  </si>
  <si>
    <t>Personnel performing activities in the THREAT domain have the skills and knowledge needed to perform their assigned responsibilities</t>
  </si>
  <si>
    <t>Responsibility and authority for the performance of activities in the THREAT domain are assigned to personnel</t>
  </si>
  <si>
    <t>Policies or other organizational directives are established and maintained that enact specific organizational requirements for the implementation of activities in the THREAT domain</t>
  </si>
  <si>
    <t>Performance objectives for activities in the THREAT domain are established and monitored to track achievement (PROGRAM-1b)</t>
  </si>
  <si>
    <t>Documented practices for activities in the THREAT domain are standardized and improved across the enterprise</t>
  </si>
  <si>
    <t>Situational Awareness</t>
  </si>
  <si>
    <t>Tilannekuva</t>
  </si>
  <si>
    <t>SITUATION-0</t>
  </si>
  <si>
    <t>Establish and maintain activities and technologies to collect, analyze, alarm, present, and use operational and cybersecurity information, including status and summary information from the other model domains, to establish situational awareness for both the organization’s operational state and cybersecurity state.</t>
  </si>
  <si>
    <t>Perform Logging</t>
  </si>
  <si>
    <t>SITUATION-1-0</t>
  </si>
  <si>
    <t>Logging should be enabled based on an asset’s potential impact to the function. For example, the greater the potential impact of a compromised asset, the more data an organization might collect about the asset.</t>
  </si>
  <si>
    <t>Logging is occurring for assets important to the function wherever feasible, at least in an ad hoc manner</t>
  </si>
  <si>
    <t>Logging requirements are established and maintained for assets important to the function</t>
  </si>
  <si>
    <t>Log data are being aggregated within the function</t>
  </si>
  <si>
    <t>Lokit kerätään keskitetysti.</t>
  </si>
  <si>
    <t>Logging requirements are based on risk to the function (i.e., more rigorous logging for higher risk assets)</t>
  </si>
  <si>
    <t>Lokitusvaatimukset on määritelty riskiperustaisesti (esim. tarkempi lokitus riskialttiille suojattaville kohteille).</t>
  </si>
  <si>
    <t>Perform Monitoring</t>
  </si>
  <si>
    <t>SITUATION-2-0</t>
  </si>
  <si>
    <t>Monitoring and analyzing data collected in logs and through other means enables the organization to understand the function’s operational and cybersecurity status.</t>
  </si>
  <si>
    <t>Cybersecurity monitoring activities are performed (e.g., periodic reviews of log data), at least in an ad hoc manner</t>
  </si>
  <si>
    <t>Operational environments are monitored for anomalous behavior that may indicate a cybersecurity event, at least in an ad hoc manner</t>
  </si>
  <si>
    <t>Monitoring and analysis requirements are established and maintained for the function and address timely review of event data</t>
  </si>
  <si>
    <t>Indicators of anomalous activity are established and maintained based on system logs, data flows, cybersecurity events, and system architecture and are monitored across the operational environment</t>
  </si>
  <si>
    <t>Alarms and alerts are configured to support the identification of cybersecurity events (RESPONSE-1b)</t>
  </si>
  <si>
    <t>Monitoring activities are aligned with the defined threat profile (THREAT-1d)</t>
  </si>
  <si>
    <t>Monitoring requirements are based on the risk to the function (i.e., more rigorous monitoring for higher risk assets)</t>
  </si>
  <si>
    <t>Automated monitoring is performed across the operational environment to identify anomalous activity</t>
  </si>
  <si>
    <t>Risk register (RISK-1d) content is used to identify indicators of anomalous activity</t>
  </si>
  <si>
    <t>Indicators of anomalous activity are evaluated and updated at an organization-defined frequency</t>
  </si>
  <si>
    <t>Establish and Maintain Situational Awareness</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</si>
  <si>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</si>
  <si>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</si>
  <si>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</si>
  <si>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</si>
  <si>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</si>
  <si>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Situational awareness reporting requirements have been defined and address timely dissemination of cybersecurity information to organization-defined stakeholders (e.g., government, connected organizations, vendors, sector organizations, regulators, internal entities)</t>
  </si>
  <si>
    <t>Monitoring data are aggregated to provide near-real-time understanding of the cybersecurity state of the function</t>
  </si>
  <si>
    <t>Relevant information from outside the organization is collected and made available across the organization to enhance situational awareness (THREAT-1g, THREAT-2i)</t>
  </si>
  <si>
    <t>Procedures are in place to analyze and deconflict received cybersecurity information in support of situational awareness</t>
  </si>
  <si>
    <t>Predefined states of operation are documented and invoked (through manual or automated processes) based on the analysis of aggregated data (THREAT-1k, RESPONSE-3k)</t>
  </si>
  <si>
    <t>SITUATION-4-0</t>
  </si>
  <si>
    <t>Documented practices are established, followed, and maintained for activities in the SITUATION domain</t>
  </si>
  <si>
    <t>Adequate resources (people, funding, and tools) are provided to support activities in the SITUATION domain</t>
  </si>
  <si>
    <t>Personnel performing activities in the SITUATION domain have the skills and knowledge needed to perform their assigned responsibilities</t>
  </si>
  <si>
    <t>Responsibility and authority for the performance of activities in the SITUATION domain are assigned to personnel</t>
  </si>
  <si>
    <t>Policies or other organizational directives are established and maintained that enact specific organizational requirements for the implementation of activities in the SITUATION domain</t>
  </si>
  <si>
    <t>Performance objectives for activities in the SITUATION domain are established and monitored to track achievement (PROGRAM-1b)</t>
  </si>
  <si>
    <t>Documented practices for activities in the SITUATION domain are standardized and improved across the enterprise</t>
  </si>
  <si>
    <t>Event and Incident Response</t>
  </si>
  <si>
    <t>RESPONSE-0</t>
  </si>
  <si>
    <t>Establish and maintain plans, procedures, and technologies to detect, analyze, mitigate, respond to, and recover from cybersecurity events and incidents, commensurate with the risk to critical infrastructure and organizational objectives.</t>
  </si>
  <si>
    <t>Detect Cybersecurity Events</t>
  </si>
  <si>
    <t>RESPONSE-1-0</t>
  </si>
  <si>
    <t>Detecting cybersecurity events includes designating a forum for reporting events and establishing criteria for event prioritization. These criteria should align with the cybersecurity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t>
  </si>
  <si>
    <t>Detected cybersecurity events are reported to a specified person or role and logged, at least in an ad hoc manner</t>
  </si>
  <si>
    <t>Criteria are established for cybersecurity event detection (e.g., what constitutes a cybersecurity event, where to look for cybersecurity events)</t>
  </si>
  <si>
    <t>Cybersecurity events are centrally logged based on the established criteria</t>
  </si>
  <si>
    <t>Event information is correlated to support incident analysis by identifying patterns, trends, and other common features</t>
  </si>
  <si>
    <t>Tapahtumatietoja korreloidaan ja analysoidaan, jotta tunnistetaan mahdolliset säännönmukaisuudet, kehityssuunnat ja muut yhteiset piirteet.</t>
  </si>
  <si>
    <t>Cybersecurity event detection activities are adjusted based on information from the organization’s risk register (RISK-1d) and threat profile (THREAT-1d) to help monitor for identified risks and detect known threats</t>
  </si>
  <si>
    <t>Situational awareness for the function is monitored to support the identification of cybersecurity events (SITUATION-2i)</t>
  </si>
  <si>
    <t>Analyze Cybersecurity Events and Declare Incidents</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</si>
  <si>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</si>
  <si>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</si>
  <si>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Criteria for declaring cybersecurity incidents are established, at least in an ad hoc manner</t>
  </si>
  <si>
    <t>Cybersecurity events are analyzed to support the declaration of cybersecurity incidents, at least in an ad hoc manner</t>
  </si>
  <si>
    <t>Cybersecurity incident declaration criteria are formally established based on the potential impact to the function (RISK-1c)</t>
  </si>
  <si>
    <t>Cybersecurity incident declaration criteria are updated at an organization defined frequency</t>
  </si>
  <si>
    <t>Events are escalated based on established criteria</t>
  </si>
  <si>
    <t>There is a repository where escalated cybersecurity events and incidents are logged and tracked to closure</t>
  </si>
  <si>
    <t>Cybersecurity stakeholders (e.g., government, connected organizations, vendors, sector organizations, regulators, internal entities) are identified and notified of events and incidents based on organization-defined criteria (SITUATION-3d)</t>
  </si>
  <si>
    <t>Criteria for cybersecurity incident declaration are aligned with the organization’s risk criteria (RISK-2b)</t>
  </si>
  <si>
    <t>Cybersecurity incidents are correlated to support the discovery of patterns, trends, and other common features</t>
  </si>
  <si>
    <t>Respond to Cybersecurity Events and Incidents</t>
  </si>
  <si>
    <t>RESPONSE-3-0</t>
  </si>
  <si>
    <t>Responding to cybersecurity incidents requires the organization to have a process to limit the impact of cybersecurity incidents to its functional and organizational units. The process should describe how the organization manages all phases of the incident lifecycle (e.g., triage, handling, communication, coordination, and closure). Conducting lessons-learned reviews as a part of cybersecurity event and incident response helps the organization eliminate the exploited vulnerability that led to the incident.</t>
  </si>
  <si>
    <t>Cybersecurity event and incident response personnel are identified and roles are assigned, at least in an ad hoc manner</t>
  </si>
  <si>
    <t>Responses to cybersecurity events and incidents are executed, at least in an ad hoc manner, to limit impact to the function and restore normal operations</t>
  </si>
  <si>
    <t>Cybersecurity events and incidents are reported to cybersecurity stakeholders, at least in an ad hoc manner</t>
  </si>
  <si>
    <t>Cybersecurity incident response plans that address all phases of the incident lifecycle (e.g., triage, escalation, handling, communication, coordination, and closure) are established and maintained</t>
  </si>
  <si>
    <t>Cybersecurity event and incident response is executed according to defined plans and procedures</t>
  </si>
  <si>
    <t>Cybersecurity event and incident response plan exercises are conducted at an organization-defined frequency</t>
  </si>
  <si>
    <t>Cybersecurity event and incident root-cause analysis and lessons-learned activities are performed and corrective actions are taken, including updating incident response plans</t>
  </si>
  <si>
    <t>Cybersecurity event and incident responses are coordinated with law enforcement and other external entities as appropriate, including support for evidence collection and preservation</t>
  </si>
  <si>
    <t>Cybersecurity event and incident response personnel participate in joint cybersecurity exercises with other organizations (e.g., tabletops, simulated incidents)</t>
  </si>
  <si>
    <t>Cybersecurity event and incident responses leverage and trigger predefined states of operation (SITUATION-3h)</t>
  </si>
  <si>
    <t>RESPONSE-4-0</t>
  </si>
  <si>
    <t>Documented practices are established, followed, and maintained for activities in the RESPONSE domain</t>
  </si>
  <si>
    <t>Adequate resources (people, funding, and tools) are provided to support activities in the RESPONSE domain</t>
  </si>
  <si>
    <t>Personnel performing activities in the RESPONSE domain have the skills and knowledge needed to perform their assigned responsibilities</t>
  </si>
  <si>
    <t>Responsibility and authority for the performance of activities in the RESPONSE domain are assigned to personnel</t>
  </si>
  <si>
    <t>Policies or other organizational directives are established and maintained that enact specific organizational requirements for the implementation of activities in the RESPONSE domain</t>
  </si>
  <si>
    <t>Performance objectives for activities in the RESPONSE domain are established and monitored to track achievement (PROGRAM-1b)</t>
  </si>
  <si>
    <t>Documented practices for activities in the RESPONSE domain are standardized and improved across the enterprise</t>
  </si>
  <si>
    <t>Workforce Management</t>
  </si>
  <si>
    <t>WORKFORCE-0</t>
  </si>
  <si>
    <t>Establish and maintain plans, procedures, technologies, and controls to create a culture of cybersecurity and to ensure the ongoing suitability and competence of personnel, commensurate with the risk to critical infrastructure and organizational objectives.</t>
  </si>
  <si>
    <t>Assign Cybersecurity Responsibilities</t>
  </si>
  <si>
    <t>WORKFORCE-1-0</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</si>
  <si>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(e.g., system administrators) to provide appropriate training, testing, redundancy, and evaluations of performance. Of course, cybersecurity responsibilities are not restricted to traditional IT roles; for example, some operations engineers may have cybersecurity responsibilities.</t>
  </si>
  <si>
    <t>Cybersecurity responsibilities for the function are identified, at least in an ad hoc manner</t>
  </si>
  <si>
    <t>Cybersecurity responsibilities are assigned to specific people, at least in an ad hoc manner</t>
  </si>
  <si>
    <t>Cybersecurity responsibilities are assigned to specific roles, including external service providers (e.g., Internet service providers, security as a service providers, cloud service providers, IT/OT service providers)</t>
  </si>
  <si>
    <t>Cybersecurity responsibilities are documented (e.g., in position descriptions, in performance criteria)</t>
  </si>
  <si>
    <t>Cybersecurity responsibilities and job requirements are reviewed and updated in accordance with organization-defined triggers (e.g., time elapsed, personnel changes, process changes)</t>
  </si>
  <si>
    <t>Assigned cybersecurity responsibilities are managed to ensure adequacy and redundancy of coverage, including succession planning</t>
  </si>
  <si>
    <t>Develop Cybersecurity Workforce</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</si>
  <si>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</si>
  <si>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</si>
  <si>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Cybersecurity training is made available to personnel with assigned cybersecurity responsibilities, at least in an ad hoc manner</t>
  </si>
  <si>
    <t>Cybersecurity knowledge, skill, and ability requirements and gaps are identified for both current and future operational needs</t>
  </si>
  <si>
    <t>Training, recruiting, and retention efforts are aligned to address identified workforce gaps</t>
  </si>
  <si>
    <t>The effectiveness of training programs is evaluated at an organization-defined frequency, and improvements are made as appropriate</t>
  </si>
  <si>
    <t>Training programs include continuing education and professional development opportunities for personnel with significant cybersecurity responsibilities</t>
  </si>
  <si>
    <t>Implement Workforce Controls</t>
  </si>
  <si>
    <t>WORKFORCE-3-0</t>
  </si>
  <si>
    <t>Implementing workforce controls includes personnel vetting (e.g.,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</si>
  <si>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Personnel vetting (e.g., background checks, drug tests) is performed, at least in an ad hoc manner, at hire for positions that have access to the assets required for delivery of the function</t>
  </si>
  <si>
    <t>Personnel termination procedures address cybersecurity, at least in an ad hoc manner</t>
  </si>
  <si>
    <t>Personnel vetting is performed at an organization-defined frequency for positions that have access to the assets required for delivery of the function</t>
  </si>
  <si>
    <t>Personnel transfer procedures address cybersecurity</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</si>
  <si>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</si>
  <si>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</si>
  <si>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Increase Cybersecurity Awareness</t>
  </si>
  <si>
    <t>WORKFORCE-4-0</t>
  </si>
  <si>
    <t>Increasing the cybersecurity awareness of the workforce is as important as technological approaches for improving the cybersecurity of the organization. The threat of cyber attack to an organization often starts with gaining some foothold into a company’s IT or OT systems—for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more lax about security processes and procedures.</t>
  </si>
  <si>
    <t>Cybersecurity awareness activities occur, at least in an ad hoc manner</t>
  </si>
  <si>
    <t>Objectives for cybersecurity awareness activities are established and maintained (PROGRAM-1b)</t>
  </si>
  <si>
    <t>Cybersecurity awareness objectives are aligned with the defined threat profile (THREAT-1d)</t>
  </si>
  <si>
    <t>Cybersecurity awareness activities are aligned with the predefined states of operation (SITUATION-3h)</t>
  </si>
  <si>
    <t>WORKFORCE-5-0</t>
  </si>
  <si>
    <t>Documented practices are established, followed, and maintained for activities in the WORKFORCE domain</t>
  </si>
  <si>
    <t>Adequate resources (people, funding, and tools) are provided to support activities in the WORKFORCE domain</t>
  </si>
  <si>
    <t>Personnel performing activities in the WORKFORCE domain have the skills and knowledge needed to perform their assigned responsibilities</t>
  </si>
  <si>
    <t>Responsibility and authority for the performance of activities in the WORKFORCE domain are assigned to personnel</t>
  </si>
  <si>
    <t>Policies or other organizational directives are established and maintained that enact specific organizational requirements for the implementation of activities in the WORKFORCE domain</t>
  </si>
  <si>
    <t>Performance objectives for activities in the WORKFORCE domain are established and monitored to track achievement (PROGRAM-1b)</t>
  </si>
  <si>
    <t>Documented practices for activities in the WORKFORCE domain are standardized and improved across the enterprise</t>
  </si>
  <si>
    <t>Henkilöstö (sisäinen)</t>
  </si>
  <si>
    <t>Konsultointi</t>
  </si>
  <si>
    <t>Palvelut</t>
  </si>
  <si>
    <t>Yhteensä</t>
  </si>
  <si>
    <t>Suunniteltu</t>
  </si>
  <si>
    <t>Kategoria</t>
  </si>
  <si>
    <t>Tunnistaminen</t>
  </si>
  <si>
    <t>Suojautuminen</t>
  </si>
  <si>
    <t>Havainnointi</t>
  </si>
  <si>
    <t>Reagointi</t>
  </si>
  <si>
    <t>Palautuminen</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</si>
  <si>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</si>
  <si>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</si>
  <si>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</si>
  <si>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</si>
  <si>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</si>
  <si>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Category</t>
  </si>
  <si>
    <t>MGMT-ID</t>
  </si>
  <si>
    <t>MGMT-PR</t>
  </si>
  <si>
    <t>MGMT-DE</t>
  </si>
  <si>
    <t>MGMT-RS</t>
  </si>
  <si>
    <t>MGMT-RC</t>
  </si>
  <si>
    <t>Kyberturvallisuusstrategia määrittelee organisaation kyberturvallisuustavoitteet.</t>
  </si>
  <si>
    <t>ISC-1a</t>
  </si>
  <si>
    <t>ISC-1c</t>
  </si>
  <si>
    <t>ISC-1d</t>
  </si>
  <si>
    <t>ISC-1e</t>
  </si>
  <si>
    <t>The cybersecurity architecture provides an overarching plan for security to be engineered in a way that transcends point solutions for individual assets such as identity management or access control. It enables reasoning about the security of critical applications and data in terms of known architectural tactics to, for example, detect, resist, react to, and recover from attacks. Such tactics include segmentation, choice of hosting solutions, cryptographic controls, and audit trails, and they can be allied with availability tactics such as monitoring, rollback, and redundancy. Aligned with an organization’s enterprise architecture strategy and program, the cybersecurity architecture informs practices such as risk analysis and configuration of assets.</t>
  </si>
  <si>
    <t xml:space="preserve">Segmentation can be implemented by physical or logical means and its' purpose is to limit the attack surface. Ideally, each asset in a segment has a purpose to be in the segment. </t>
  </si>
  <si>
    <t>To protect users and data, application security is a key part of security architecture. Applications should be resilient even under abuse.
Application security should be taken into account also when using 3rd party solutions.</t>
  </si>
  <si>
    <t>Data is in the centre of cybersecurity architecture. To protect sensitive data, it must be recognized and the means for protection, such as key management processes must be in place.</t>
  </si>
  <si>
    <t>Ohjelmistokorjausten aiheuttama operatiivinen vaikutus arvioidaan ennen niiden asentamista.</t>
  </si>
  <si>
    <t>Critical Service Protection</t>
  </si>
  <si>
    <t>Kriittisten palveluiden suojaaminen</t>
  </si>
  <si>
    <t>Organisaation tuottamat yhteiskunnalle kriittiset palvelut on tunnistettu ja dokumentoitu.</t>
  </si>
  <si>
    <t>Alikat ID</t>
  </si>
  <si>
    <t>V1.1</t>
  </si>
  <si>
    <t>MIL</t>
  </si>
  <si>
    <t>Answer</t>
  </si>
  <si>
    <t>ID.AM-5</t>
  </si>
  <si>
    <t>ID.BE-4</t>
  </si>
  <si>
    <t>ID.GV-2</t>
  </si>
  <si>
    <t>ID.GV-3</t>
  </si>
  <si>
    <t>ID.SC-1</t>
  </si>
  <si>
    <t>ID.SC-3</t>
  </si>
  <si>
    <t>PR.AT-1</t>
  </si>
  <si>
    <t>PR.AT-2</t>
  </si>
  <si>
    <t>PR.AT-3</t>
  </si>
  <si>
    <t>PR.AT-4</t>
  </si>
  <si>
    <t>PR.AT-5</t>
  </si>
  <si>
    <t>PR.DS-3</t>
  </si>
  <si>
    <t>PR.IP-5</t>
  </si>
  <si>
    <t>PR.IP-11</t>
  </si>
  <si>
    <t>PR.MA-2</t>
  </si>
  <si>
    <t>PR.PT-2</t>
  </si>
  <si>
    <t>PR.PT-3</t>
  </si>
  <si>
    <t>DE.CM-5</t>
  </si>
  <si>
    <t>DE.CM-6</t>
  </si>
  <si>
    <t>DE.DP-1</t>
  </si>
  <si>
    <t>ID.SC-4</t>
  </si>
  <si>
    <t>EDM-2i</t>
  </si>
  <si>
    <t>ID.AM-1</t>
  </si>
  <si>
    <t>ACM-1a</t>
  </si>
  <si>
    <t>ACM-1c</t>
  </si>
  <si>
    <t>ACM-1e</t>
  </si>
  <si>
    <t>ACM-1f</t>
  </si>
  <si>
    <t>ID.AM-2</t>
  </si>
  <si>
    <t>ID.AM-3</t>
  </si>
  <si>
    <t>ID.AM-4</t>
  </si>
  <si>
    <t>EDM-1a</t>
  </si>
  <si>
    <t>EDM-1c</t>
  </si>
  <si>
    <t>EDM-1e</t>
  </si>
  <si>
    <t>EDM-1g</t>
  </si>
  <si>
    <t>RM-1c</t>
  </si>
  <si>
    <t>ACM-1d</t>
  </si>
  <si>
    <t>ID.AM-6</t>
  </si>
  <si>
    <t>WM-1a</t>
  </si>
  <si>
    <t>WM-1b</t>
  </si>
  <si>
    <t>WM-1c</t>
  </si>
  <si>
    <t>ID.BE-1</t>
  </si>
  <si>
    <t>EDM-1b</t>
  </si>
  <si>
    <t>EDM-1d</t>
  </si>
  <si>
    <t>EDM-1f</t>
  </si>
  <si>
    <t>ID.BE-2</t>
  </si>
  <si>
    <t>CPM-1c</t>
  </si>
  <si>
    <t>ID.BE-3</t>
  </si>
  <si>
    <t>ID.BE-5</t>
  </si>
  <si>
    <t>IR-4a</t>
  </si>
  <si>
    <t>IR-4b</t>
  </si>
  <si>
    <t>IR-4c</t>
  </si>
  <si>
    <t>IR-4e</t>
  </si>
  <si>
    <t>ID.GV-1</t>
  </si>
  <si>
    <t>CPM-2g</t>
  </si>
  <si>
    <t>CPM-5d</t>
  </si>
  <si>
    <t>RM-3e</t>
  </si>
  <si>
    <t>WM-2d</t>
  </si>
  <si>
    <t>WM-1e</t>
  </si>
  <si>
    <t>WM-1g</t>
  </si>
  <si>
    <t>CPM-2k</t>
  </si>
  <si>
    <t>ID.GV-4</t>
  </si>
  <si>
    <t>RM-2a</t>
  </si>
  <si>
    <t>RM-2b</t>
  </si>
  <si>
    <t>RM-2h</t>
  </si>
  <si>
    <t>RM-1e</t>
  </si>
  <si>
    <t>ID.RA-1</t>
  </si>
  <si>
    <t>TVM-2a</t>
  </si>
  <si>
    <t>TVM-2b</t>
  </si>
  <si>
    <t>TVM-2d</t>
  </si>
  <si>
    <t>TVM-2e</t>
  </si>
  <si>
    <t>TVM-2f</t>
  </si>
  <si>
    <t>RM-2j</t>
  </si>
  <si>
    <t>TVM-2i</t>
  </si>
  <si>
    <t>TVM-2k</t>
  </si>
  <si>
    <t>ID.RA-2</t>
  </si>
  <si>
    <t>TVM-1a</t>
  </si>
  <si>
    <t>TVM-1b</t>
  </si>
  <si>
    <t>ID.RA-3</t>
  </si>
  <si>
    <t>TVM-1d</t>
  </si>
  <si>
    <t>TVM-1e</t>
  </si>
  <si>
    <t>ID.RA-4</t>
  </si>
  <si>
    <t>TVM-1f</t>
  </si>
  <si>
    <t>ID.RA-5</t>
  </si>
  <si>
    <t>ID.RA-6</t>
  </si>
  <si>
    <t>RM-2e</t>
  </si>
  <si>
    <t>ID.RM-1</t>
  </si>
  <si>
    <t>RM-1a</t>
  </si>
  <si>
    <t>RM-2c</t>
  </si>
  <si>
    <t>RM-2d</t>
  </si>
  <si>
    <t>RM-3a</t>
  </si>
  <si>
    <t>RM-3c</t>
  </si>
  <si>
    <t>RM-1d</t>
  </si>
  <si>
    <t>RM-3h</t>
  </si>
  <si>
    <t>RM-3i</t>
  </si>
  <si>
    <t>ID.RM-2</t>
  </si>
  <si>
    <t>ID.RM-3</t>
  </si>
  <si>
    <t>EDM-2a</t>
  </si>
  <si>
    <t>EDM-2b</t>
  </si>
  <si>
    <t>EDM-2c</t>
  </si>
  <si>
    <t>EDM-2k</t>
  </si>
  <si>
    <t>ID.SC-2</t>
  </si>
  <si>
    <t>EDM-2d</t>
  </si>
  <si>
    <t>EDM-2e</t>
  </si>
  <si>
    <t>EDM-2f</t>
  </si>
  <si>
    <t>EDM-2g</t>
  </si>
  <si>
    <t>EDM-2h</t>
  </si>
  <si>
    <t>EDM-2m</t>
  </si>
  <si>
    <t>EDM-2n</t>
  </si>
  <si>
    <t>ID.SC-5</t>
  </si>
  <si>
    <t>IR-3e</t>
  </si>
  <si>
    <t>IR-4f</t>
  </si>
  <si>
    <t>IR-3j</t>
  </si>
  <si>
    <t>PR.AC-1</t>
  </si>
  <si>
    <t>IAM-1a</t>
  </si>
  <si>
    <t>IAM-1b</t>
  </si>
  <si>
    <t>IAM-1c</t>
  </si>
  <si>
    <t>IAM-1d</t>
  </si>
  <si>
    <t>IAM-1e</t>
  </si>
  <si>
    <t>IAM-1f</t>
  </si>
  <si>
    <t>IAM-1g</t>
  </si>
  <si>
    <t>PR.AC-2</t>
  </si>
  <si>
    <t>IAM-2a</t>
  </si>
  <si>
    <t>IAM-2b</t>
  </si>
  <si>
    <t>IAM-2c</t>
  </si>
  <si>
    <t>IAM-2d</t>
  </si>
  <si>
    <t>IAM-2e</t>
  </si>
  <si>
    <t>IAM-2f</t>
  </si>
  <si>
    <t>IAM-2g</t>
  </si>
  <si>
    <t>PR.AC-3</t>
  </si>
  <si>
    <t>PR.AC-4</t>
  </si>
  <si>
    <t>PR.AC-5</t>
  </si>
  <si>
    <t>CPM-3a</t>
  </si>
  <si>
    <t>CPM-3b</t>
  </si>
  <si>
    <t>CPM-3c</t>
  </si>
  <si>
    <t>PR.AC-6</t>
  </si>
  <si>
    <t>PR.AC-7</t>
  </si>
  <si>
    <t>WM-3a</t>
  </si>
  <si>
    <t>WM-4a</t>
  </si>
  <si>
    <t>WM-3b</t>
  </si>
  <si>
    <t>WM-3c</t>
  </si>
  <si>
    <t>WM-3d</t>
  </si>
  <si>
    <t>WM-3h</t>
  </si>
  <si>
    <t>WM-3i</t>
  </si>
  <si>
    <t>WM-1d</t>
  </si>
  <si>
    <t>PR.DS-1</t>
  </si>
  <si>
    <t>TVM-1c</t>
  </si>
  <si>
    <t>TVM-2c</t>
  </si>
  <si>
    <t>PR.DS-2</t>
  </si>
  <si>
    <t>ACM-3a</t>
  </si>
  <si>
    <t>ACM-3b</t>
  </si>
  <si>
    <t>ACM-3c</t>
  </si>
  <si>
    <t>ACM-3d</t>
  </si>
  <si>
    <t>ACM-4a</t>
  </si>
  <si>
    <t>ACM-4c</t>
  </si>
  <si>
    <t>ACM-3f</t>
  </si>
  <si>
    <t>ACM-4e</t>
  </si>
  <si>
    <t>PR.DS-4</t>
  </si>
  <si>
    <t>PR.DS-5</t>
  </si>
  <si>
    <t>TVM-2n</t>
  </si>
  <si>
    <t>PR.DS-6</t>
  </si>
  <si>
    <t>SA-2e</t>
  </si>
  <si>
    <t>SA-2i</t>
  </si>
  <si>
    <t>PR.DS-7</t>
  </si>
  <si>
    <t>ACM-3e</t>
  </si>
  <si>
    <t>PR.DS-8.DISABLED</t>
  </si>
  <si>
    <t>ACM-2a</t>
  </si>
  <si>
    <t>ACM-2b</t>
  </si>
  <si>
    <t>SA-1b</t>
  </si>
  <si>
    <t>ACM-2d</t>
  </si>
  <si>
    <t>PR.IP-1</t>
  </si>
  <si>
    <t>ACM-2c</t>
  </si>
  <si>
    <t>ACM-2e</t>
  </si>
  <si>
    <t>PR.IP-2</t>
  </si>
  <si>
    <t>PR.IP-3</t>
  </si>
  <si>
    <t>PR.IP-4</t>
  </si>
  <si>
    <t>PR.IP-6</t>
  </si>
  <si>
    <t>PR.IP-7</t>
  </si>
  <si>
    <t>CPM-1g</t>
  </si>
  <si>
    <t>PR.IP-8</t>
  </si>
  <si>
    <t>PR.IP-9</t>
  </si>
  <si>
    <t>IR-4d</t>
  </si>
  <si>
    <t>IR-5a</t>
  </si>
  <si>
    <t>IR-4i</t>
  </si>
  <si>
    <t>IR-4j</t>
  </si>
  <si>
    <t>IR-5e</t>
  </si>
  <si>
    <t>IR-5h</t>
  </si>
  <si>
    <t>IR-5i</t>
  </si>
  <si>
    <t>PR.IP-10</t>
  </si>
  <si>
    <t>WM-2a</t>
  </si>
  <si>
    <t>WM-2b</t>
  </si>
  <si>
    <t>WM-2c</t>
  </si>
  <si>
    <t>WM-2f</t>
  </si>
  <si>
    <t>WM-2h</t>
  </si>
  <si>
    <t>PR.IP-12</t>
  </si>
  <si>
    <t>TVM-3a</t>
  </si>
  <si>
    <t>TVM-3e</t>
  </si>
  <si>
    <t>PR.MA-1</t>
  </si>
  <si>
    <t>SA-1a</t>
  </si>
  <si>
    <t>PR.PT-1</t>
  </si>
  <si>
    <t>SA-2a</t>
  </si>
  <si>
    <t>SA-1c</t>
  </si>
  <si>
    <t>SA-4a</t>
  </si>
  <si>
    <t>SA-1d</t>
  </si>
  <si>
    <t>SA-4e</t>
  </si>
  <si>
    <t>IAM-3e</t>
  </si>
  <si>
    <t>IAM-2i</t>
  </si>
  <si>
    <t>PR.PT-4</t>
  </si>
  <si>
    <t>PR.PT-5</t>
  </si>
  <si>
    <t>DE.AE-1</t>
  </si>
  <si>
    <t>DE.AE-2</t>
  </si>
  <si>
    <t>IR-1f</t>
  </si>
  <si>
    <t>IR-2i</t>
  </si>
  <si>
    <t>IR-3h</t>
  </si>
  <si>
    <t>DE.AE-3</t>
  </si>
  <si>
    <t>IR-1e</t>
  </si>
  <si>
    <t>DE.AE-4</t>
  </si>
  <si>
    <t>IR-2b</t>
  </si>
  <si>
    <t>IR-2d</t>
  </si>
  <si>
    <t>IR-2g</t>
  </si>
  <si>
    <t>DE.AE-5</t>
  </si>
  <si>
    <t>IR-2a</t>
  </si>
  <si>
    <t>SA-2d</t>
  </si>
  <si>
    <t>DE.CM-1</t>
  </si>
  <si>
    <t>SA-2b</t>
  </si>
  <si>
    <t>SA-2f</t>
  </si>
  <si>
    <t>SA-2g</t>
  </si>
  <si>
    <t>DE.CM-2</t>
  </si>
  <si>
    <t>DE.CM-3</t>
  </si>
  <si>
    <t>Sa-2e</t>
  </si>
  <si>
    <t>DE.CM-4</t>
  </si>
  <si>
    <t>CPM-4a</t>
  </si>
  <si>
    <t>DE.CM-7</t>
  </si>
  <si>
    <t>DE.CM-8</t>
  </si>
  <si>
    <t>DE.DP-2</t>
  </si>
  <si>
    <t>IR-1d</t>
  </si>
  <si>
    <t>IR-1g</t>
  </si>
  <si>
    <t>DE.DP-3</t>
  </si>
  <si>
    <t>DE.DP-4</t>
  </si>
  <si>
    <t>IR-1b</t>
  </si>
  <si>
    <t>IR-3c</t>
  </si>
  <si>
    <t>DE.DP-5</t>
  </si>
  <si>
    <t>RS.RP-1</t>
  </si>
  <si>
    <t>IR-3d</t>
  </si>
  <si>
    <t>RS.CO-1</t>
  </si>
  <si>
    <t>IR-3a</t>
  </si>
  <si>
    <t>RS.CO-2</t>
  </si>
  <si>
    <t>RS.CO-3</t>
  </si>
  <si>
    <t>IR-3i</t>
  </si>
  <si>
    <t>RS.CO-4</t>
  </si>
  <si>
    <t>RS.CO-5</t>
  </si>
  <si>
    <t>RS.AN-1</t>
  </si>
  <si>
    <t>RS.AN-2</t>
  </si>
  <si>
    <t>RS.AN-3</t>
  </si>
  <si>
    <t>RS.AN-4</t>
  </si>
  <si>
    <t>RS.AN-5</t>
  </si>
  <si>
    <t>TVM-2h</t>
  </si>
  <si>
    <t>RS.MI-1</t>
  </si>
  <si>
    <t>IR-3b</t>
  </si>
  <si>
    <t>RS.MI-2</t>
  </si>
  <si>
    <t>RS.MI-3</t>
  </si>
  <si>
    <t>RS.IM-1</t>
  </si>
  <si>
    <t>RS.IM-2</t>
  </si>
  <si>
    <t>RC.RP-1</t>
  </si>
  <si>
    <t>RC.IM-1</t>
  </si>
  <si>
    <t>RC.IM-2</t>
  </si>
  <si>
    <t>RC.CO-1</t>
  </si>
  <si>
    <t>RC.CO-2</t>
  </si>
  <si>
    <t>RC.CO-3</t>
  </si>
  <si>
    <t>ID.AM</t>
  </si>
  <si>
    <t>ID.BE</t>
  </si>
  <si>
    <t>ID.GV</t>
  </si>
  <si>
    <t>ID.RA</t>
  </si>
  <si>
    <t>ID.RM</t>
  </si>
  <si>
    <t>ID.SC</t>
  </si>
  <si>
    <t>PR.AC</t>
  </si>
  <si>
    <t>PR.AT</t>
  </si>
  <si>
    <t>PR.DS</t>
  </si>
  <si>
    <t>PR.DS-8</t>
  </si>
  <si>
    <t>PR.IP</t>
  </si>
  <si>
    <t>PR.MA</t>
  </si>
  <si>
    <t>PR.PT</t>
  </si>
  <si>
    <t>DE.AE</t>
  </si>
  <si>
    <t>DE.CM</t>
  </si>
  <si>
    <t>DE.DP</t>
  </si>
  <si>
    <t>RS.RP</t>
  </si>
  <si>
    <t>RS.CO</t>
  </si>
  <si>
    <t>RS.AN</t>
  </si>
  <si>
    <t>RS.MI</t>
  </si>
  <si>
    <t>RS.IM</t>
  </si>
  <si>
    <t>RC.RP</t>
  </si>
  <si>
    <t>RC.IM</t>
  </si>
  <si>
    <t>RC.CO</t>
  </si>
  <si>
    <t>Suomi</t>
  </si>
  <si>
    <t>English</t>
  </si>
  <si>
    <t>Svenska</t>
  </si>
  <si>
    <t>Valitse kieli / Välj språk / Choose language</t>
  </si>
  <si>
    <t>KYBERMITTARI-0</t>
  </si>
  <si>
    <t>1. Mild systemic impact</t>
  </si>
  <si>
    <t>1. Vähäinen systeeminen vaikutus</t>
  </si>
  <si>
    <t>3. Crippling systemic impact</t>
  </si>
  <si>
    <t>3. Rampauttava systeeminen vaikutus</t>
  </si>
  <si>
    <t>Scenario</t>
  </si>
  <si>
    <t>NIST-ID</t>
  </si>
  <si>
    <t>NIST-PR</t>
  </si>
  <si>
    <t>NIST-DE</t>
  </si>
  <si>
    <t>NIST-RS</t>
  </si>
  <si>
    <t>NIST-RC</t>
  </si>
  <si>
    <t>Kyberturvallisuuden arviointityökalu</t>
  </si>
  <si>
    <t>Function</t>
  </si>
  <si>
    <t>Description</t>
  </si>
  <si>
    <t>Subcategory</t>
  </si>
  <si>
    <t>Total implemented</t>
  </si>
  <si>
    <t># of controls</t>
  </si>
  <si>
    <t>Maturity level 1</t>
  </si>
  <si>
    <t>Maturity level 2</t>
  </si>
  <si>
    <t>Maturity level 3</t>
  </si>
  <si>
    <t>Identify</t>
  </si>
  <si>
    <t xml:space="preserve">Asset Management </t>
  </si>
  <si>
    <t>The data, personnel, devices, systems, and facilities that enable the organization to achieve business purposes are identified and managed consistent with their relative importance to organizational objectives and the organization’s risk strategy.</t>
  </si>
  <si>
    <t>Physical devices and systems within the organization are inventoried</t>
  </si>
  <si>
    <t/>
  </si>
  <si>
    <t>Software platforms and applications within the organization are inventoried</t>
  </si>
  <si>
    <t>Organizational communication and data flows are mapped</t>
  </si>
  <si>
    <t>External information systems are catalogued</t>
  </si>
  <si>
    <t xml:space="preserve">Resources (e.g., hardware, devices, data, time, personnel, and software) are prioritized based on their classification, criticality, and business value </t>
  </si>
  <si>
    <t>Cybersecurity roles and responsibilities for the entire workforce and third-party stakeholders (e.g., suppliers, customers, partners) are established</t>
  </si>
  <si>
    <t xml:space="preserve">Business Environment </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</si>
  <si>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</si>
  <si>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</si>
  <si>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</si>
  <si>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</si>
  <si>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</si>
  <si>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</si>
  <si>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 xml:space="preserve">Governance </t>
  </si>
  <si>
    <t>The policies, procedures, and processes to manage and monitor the organization’s regulatory, legal, risk, environmental, and operational requirements are understood and inform the management of cybersecurity risk.</t>
  </si>
  <si>
    <t>Organizational cybersecurity policy is established and communicated</t>
  </si>
  <si>
    <t>Cybersecurity roles and responsibilities are coordinated and aligned with internal roles and external partners</t>
  </si>
  <si>
    <t>Legal and regulatory requirements regarding cybersecurity, including privacy and civil liberties obligations, are understood and managed</t>
  </si>
  <si>
    <t>Governance and risk management processes address cybersecurity risks</t>
  </si>
  <si>
    <t xml:space="preserve">Risk Assessment </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</si>
  <si>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</si>
  <si>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</si>
  <si>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</si>
  <si>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</si>
  <si>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</si>
  <si>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</si>
  <si>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</si>
  <si>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 xml:space="preserve">Risk Management Strategy </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</si>
  <si>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</si>
  <si>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</si>
  <si>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</si>
  <si>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</si>
  <si>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 xml:space="preserve">Supply Chain Risk Management </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</si>
  <si>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</si>
  <si>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</si>
  <si>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</si>
  <si>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</si>
  <si>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</si>
  <si>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Response and recovery planning and testing are conducted with suppliers and third-party providers</t>
  </si>
  <si>
    <t>Protect</t>
  </si>
  <si>
    <t xml:space="preserve">Identity Management, Authentication and Access Control </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</si>
  <si>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</si>
  <si>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</si>
  <si>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</si>
  <si>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</si>
  <si>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</si>
  <si>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Network integrity is protected (e.g., network segregation, network segmentation)</t>
  </si>
  <si>
    <t>Identities are proofed and bound to credentials and asserted in interactions</t>
  </si>
  <si>
    <t>Users, devices, and other assets are authenticated (e.g., single-factor, multi-factor) commensurate with the risk of the transaction (e.g., individuals’ security and privacy risks and other organizational risks)</t>
  </si>
  <si>
    <t xml:space="preserve">Awareness and Training </t>
  </si>
  <si>
    <t>The organization’s personnel and partners are provided cybersecurity awareness education and are trained to perform their cybersecurity-related duties and responsibilities consistent with related policies, procedures, and agreements.</t>
  </si>
  <si>
    <t xml:space="preserve">All users are informed and trained </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</si>
  <si>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</si>
  <si>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</si>
  <si>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</si>
  <si>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</si>
  <si>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 xml:space="preserve">Data Security </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</si>
  <si>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</si>
  <si>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</si>
  <si>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</si>
  <si>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</si>
  <si>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</si>
  <si>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</si>
  <si>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</si>
  <si>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</si>
  <si>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</si>
  <si>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 xml:space="preserve">Information Protection Processes and Procedures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</si>
  <si>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</si>
  <si>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</si>
  <si>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A System Development Life Cycle to manage systems is implemented</t>
  </si>
  <si>
    <t>Configuration change control processes are in place</t>
  </si>
  <si>
    <t xml:space="preserve">Backups of information are conducted, maintained, and tested </t>
  </si>
  <si>
    <t>Policy and regulations regarding the physical operating environment for organizational assets are met</t>
  </si>
  <si>
    <t>Data is destroyed according to policy</t>
  </si>
  <si>
    <t>Protection processes are improved</t>
  </si>
  <si>
    <t xml:space="preserve">Effectiveness of protection technologies is shared </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</si>
  <si>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</si>
  <si>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</si>
  <si>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</si>
  <si>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</si>
  <si>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 xml:space="preserve">Maintenance </t>
  </si>
  <si>
    <t>Maintenance and repairs of industrial control and information system components are performed consistent with policies and procedures.</t>
  </si>
  <si>
    <t>Maintenance and repair of organizational assets are performed and logged, with approved and controlled tools</t>
  </si>
  <si>
    <t>Remote maintenance of organizational assets is approved, logged, and performed in a manner that prevents unauthorized access</t>
  </si>
  <si>
    <t xml:space="preserve">Protective Technology </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</si>
  <si>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</si>
  <si>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</si>
  <si>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</si>
  <si>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</si>
  <si>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</si>
  <si>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Mechanisms (e.g., failsafe, load balancing, hot swap) are implemented to achieve resilience requirements in normal and adverse situations</t>
  </si>
  <si>
    <t>Detect</t>
  </si>
  <si>
    <t xml:space="preserve">Anomalies and Events </t>
  </si>
  <si>
    <t>Anomalous activity is detected and the potential impact of events is understood.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</si>
  <si>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</si>
  <si>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</si>
  <si>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</si>
  <si>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</si>
  <si>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</si>
  <si>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 xml:space="preserve">Security Continuous Monitoring </t>
  </si>
  <si>
    <t>The information system and assets are monitored to identify cybersecurity events and verify the effectiveness of protective measures.</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</si>
  <si>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</si>
  <si>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</si>
  <si>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</si>
  <si>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</si>
  <si>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</si>
  <si>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</si>
  <si>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</si>
  <si>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</si>
  <si>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 xml:space="preserve">Detection Processes </t>
  </si>
  <si>
    <t>Detection processes and procedures are maintained and tested to ensure awareness of anomalous events.</t>
  </si>
  <si>
    <t>Roles and responsibilities for detection are well defined to ensure accountability</t>
  </si>
  <si>
    <t>Detection activities comply with all applicable requirements</t>
  </si>
  <si>
    <t>Detection processes are tested</t>
  </si>
  <si>
    <t>Event detection information is communicated</t>
  </si>
  <si>
    <t>Detection processes are continuously improved</t>
  </si>
  <si>
    <t>Respond</t>
  </si>
  <si>
    <t xml:space="preserve">Response Planning </t>
  </si>
  <si>
    <t>Response processes and procedures are executed and maintained, to ensure response to detected cybersecurity incidents.</t>
  </si>
  <si>
    <t>Response plan is executed during or after an incident</t>
  </si>
  <si>
    <t xml:space="preserve">Communications </t>
  </si>
  <si>
    <t>Response activities are coordinated with internal and external stakeholders (e.g. external support from law enforcement agencies).</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</si>
  <si>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</si>
  <si>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</si>
  <si>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</si>
  <si>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</si>
  <si>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 xml:space="preserve">Voluntary information sharing occurs with external stakeholders to achieve broader cybersecurity situational awareness </t>
  </si>
  <si>
    <t xml:space="preserve">Analysis </t>
  </si>
  <si>
    <t>Analysis is conducted to ensure effective response and support recovery activities.</t>
  </si>
  <si>
    <t>Notifications from detection systems are investigated </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</si>
  <si>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</si>
  <si>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</si>
  <si>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</si>
  <si>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</si>
  <si>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 xml:space="preserve">Mitigation </t>
  </si>
  <si>
    <t>Activities are performed to prevent expansion of an event, mitigate its effects, and resolve the incident.</t>
  </si>
  <si>
    <t>Incidents are contained</t>
  </si>
  <si>
    <t>Incidents are mitigated</t>
  </si>
  <si>
    <t>Newly identified vulnerabilities are mitigated or documented as accepted risks</t>
  </si>
  <si>
    <t xml:space="preserve">Improvements </t>
  </si>
  <si>
    <t>Organizational response activities are improved by incorporating lessons learned from current and previous detection/response activities.</t>
  </si>
  <si>
    <t>Response plans incorporate lessons learned</t>
  </si>
  <si>
    <t>Response strategies are updated</t>
  </si>
  <si>
    <t>Recover</t>
  </si>
  <si>
    <t xml:space="preserve">Recovery Planning </t>
  </si>
  <si>
    <t>Recovery processes and procedures are executed and maintained to ensure restoration of systems or assets affected by cybersecurity incidents.</t>
  </si>
  <si>
    <t xml:space="preserve">Recovery plan is executed during or after a cybersecurity incident </t>
  </si>
  <si>
    <t>Recovery planning and processes are improved by incorporating lessons learned into future activities.</t>
  </si>
  <si>
    <t>Recovery plans incorporate lessons learned</t>
  </si>
  <si>
    <t>Recovery strategies are updated</t>
  </si>
  <si>
    <t>Restoration activities are coordinated with internal and external parties (e.g.  coordinating centers, Internet Service Providers, owners of attacking systems, victims, other CSIRTs, and vendors).</t>
  </si>
  <si>
    <t>Public relations are managed</t>
  </si>
  <si>
    <t xml:space="preserve">Reputation is repaired after an incident </t>
  </si>
  <si>
    <t>Recovery activities are communicated to internal and external stakeholders as well as executive and management teams</t>
  </si>
  <si>
    <t>KM50</t>
  </si>
  <si>
    <t>KM60</t>
  </si>
  <si>
    <t>KM61</t>
  </si>
  <si>
    <t>INVEST</t>
  </si>
  <si>
    <t>MGMT-ID-0</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</si>
  <si>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</si>
  <si>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</si>
  <si>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</si>
  <si>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</si>
  <si>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</si>
  <si>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</si>
  <si>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</si>
  <si>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</si>
  <si>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</si>
  <si>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</si>
  <si>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</si>
  <si>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</si>
  <si>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</si>
  <si>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</si>
  <si>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</si>
  <si>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</si>
  <si>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</si>
  <si>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</si>
  <si>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</si>
  <si>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MGMT-DE-0</t>
  </si>
  <si>
    <t>Organization has a very limited capability to detect cyber incidents as they happen. Typically this means that response activities are delayed significantly and happen after major breach and damage an attacker wants to cause will realize in full.</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</si>
  <si>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</si>
  <si>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</si>
  <si>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</si>
  <si>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</si>
  <si>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</si>
  <si>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</si>
  <si>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</si>
  <si>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</si>
  <si>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</si>
  <si>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</si>
  <si>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</si>
  <si>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</si>
  <si>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</si>
  <si>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</si>
  <si>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</si>
  <si>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</si>
  <si>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</si>
  <si>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</si>
  <si>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</si>
  <si>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</si>
  <si>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</si>
  <si>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</si>
  <si>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</si>
  <si>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</si>
  <si>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</si>
  <si>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</si>
  <si>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</si>
  <si>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2. Significant systemic impact</t>
  </si>
  <si>
    <t>Exporting results</t>
  </si>
  <si>
    <t>Management report (R1)</t>
  </si>
  <si>
    <t>TotMIL</t>
  </si>
  <si>
    <t>Kokonaisarvio</t>
  </si>
  <si>
    <t>Yhteyshenkilö</t>
  </si>
  <si>
    <t>Arvioinnin vetäjä</t>
  </si>
  <si>
    <t>Toiminto</t>
  </si>
  <si>
    <t>CRITICAL-0</t>
  </si>
  <si>
    <t>CRITICAL-1-0</t>
  </si>
  <si>
    <t>CRITICAL-2-0</t>
  </si>
  <si>
    <t>CRITICAL-3-0</t>
  </si>
  <si>
    <t>Vertailutulokset</t>
  </si>
  <si>
    <t>Kyberturvallisuuden investointien taso</t>
  </si>
  <si>
    <t>Aiemmat arviointitulokset</t>
  </si>
  <si>
    <t>Arviointitulosten vienti</t>
  </si>
  <si>
    <t>C_name</t>
  </si>
  <si>
    <t>C_industry</t>
  </si>
  <si>
    <t>C_function</t>
  </si>
  <si>
    <t>C_securityclass</t>
  </si>
  <si>
    <t>Yhteensä (x 1 000 €)</t>
  </si>
  <si>
    <t>Ohjelmisto-lisenssit</t>
  </si>
  <si>
    <t>Laite-investoinnit</t>
  </si>
  <si>
    <t>Tiedon luokittelu</t>
  </si>
  <si>
    <t>Finanssiala</t>
  </si>
  <si>
    <t>Elintarvike - Alkutuotanto</t>
  </si>
  <si>
    <t>Elintarvike - Elintarviketeollisuus</t>
  </si>
  <si>
    <t>Elintarvike - Kauppa ja jakelu</t>
  </si>
  <si>
    <t>Elintarvike - Muu</t>
  </si>
  <si>
    <t>Energia - Voimatalous</t>
  </si>
  <si>
    <t>Energia - Öljy</t>
  </si>
  <si>
    <t>Energia - Muu</t>
  </si>
  <si>
    <t>Finanssi - Rahoitushuolto</t>
  </si>
  <si>
    <t>Finanssi - Vakuutusala</t>
  </si>
  <si>
    <t>Finanssi - Muu</t>
  </si>
  <si>
    <t>Logistiikka - Ilmakuljetus</t>
  </si>
  <si>
    <t>Logistiikka - Maakuljetus</t>
  </si>
  <si>
    <t>Logistiikka - Vesikuljetus</t>
  </si>
  <si>
    <t>Logistiikka - Muu</t>
  </si>
  <si>
    <t>Terveys - Terveydenhuolto</t>
  </si>
  <si>
    <t>Terveys - Vesihuolto</t>
  </si>
  <si>
    <t>Terveys - Muu</t>
  </si>
  <si>
    <t>Tieto - Digi</t>
  </si>
  <si>
    <t>Tieto - Media</t>
  </si>
  <si>
    <t>Tieto - Muu</t>
  </si>
  <si>
    <t>Kriit. teollisuus - Kemia</t>
  </si>
  <si>
    <t>Kriit. teollisuus - Metsä</t>
  </si>
  <si>
    <t>Kriit. teollisuus - MIL</t>
  </si>
  <si>
    <t>Kriit. teollisuus - Muovi ja kumi</t>
  </si>
  <si>
    <t>Kriit. teollisuus - Rakennus</t>
  </si>
  <si>
    <t>Kriit. teollisuus - Teknologia</t>
  </si>
  <si>
    <t>Kriit. teollisuus - Muu</t>
  </si>
  <si>
    <t>Ei hvk-toiminto</t>
  </si>
  <si>
    <t>Kypsyystaso 0</t>
  </si>
  <si>
    <t>Kypsyystaso 3</t>
  </si>
  <si>
    <t>Kypsyystasolle 1 vaadittavia toimenpiteitä</t>
  </si>
  <si>
    <t>Organisaation nykytila</t>
  </si>
  <si>
    <t>Kypsyystaso 1</t>
  </si>
  <si>
    <t>Kypsyystaso 2</t>
  </si>
  <si>
    <t>Organisaation edellinen arviointi</t>
  </si>
  <si>
    <t>Organisation</t>
  </si>
  <si>
    <t>Facilitator</t>
  </si>
  <si>
    <t>Security classification</t>
  </si>
  <si>
    <t>Level of cybersecurity investments</t>
  </si>
  <si>
    <t>KM51</t>
  </si>
  <si>
    <t>KM52</t>
  </si>
  <si>
    <t>KM53</t>
  </si>
  <si>
    <t>KM54</t>
  </si>
  <si>
    <t>KM55</t>
  </si>
  <si>
    <t>KM56</t>
  </si>
  <si>
    <t>KM58</t>
  </si>
  <si>
    <t>KM59</t>
  </si>
  <si>
    <t>Previous results</t>
  </si>
  <si>
    <t>Reference results</t>
  </si>
  <si>
    <t>INVEST-10</t>
  </si>
  <si>
    <t>INVEST-01</t>
  </si>
  <si>
    <t>INVEST-02</t>
  </si>
  <si>
    <t>INVEST-03</t>
  </si>
  <si>
    <t>INVEST-04</t>
  </si>
  <si>
    <t>INVEST-05</t>
  </si>
  <si>
    <t>INVEST-06</t>
  </si>
  <si>
    <t>INVEST-07</t>
  </si>
  <si>
    <t>INVEST-08</t>
  </si>
  <si>
    <t>INVEST-09</t>
  </si>
  <si>
    <t>INVEST-11</t>
  </si>
  <si>
    <t>Personnel (internal)</t>
  </si>
  <si>
    <t>Consultancy</t>
  </si>
  <si>
    <t>Services</t>
  </si>
  <si>
    <t>Software licenses</t>
  </si>
  <si>
    <t>Hardware invest.</t>
  </si>
  <si>
    <t>Total</t>
  </si>
  <si>
    <t>Planned</t>
  </si>
  <si>
    <t>Total (x 1 000 €)</t>
  </si>
  <si>
    <t>0 - Not answered</t>
  </si>
  <si>
    <t>1 - Not applied</t>
  </si>
  <si>
    <t>2 - Partially applied</t>
  </si>
  <si>
    <t>3 - Mostly applied</t>
  </si>
  <si>
    <t>4 - Fully applied</t>
  </si>
  <si>
    <t>Ref</t>
  </si>
  <si>
    <t>MIL 0</t>
  </si>
  <si>
    <t>MIL 1</t>
  </si>
  <si>
    <t>MIL 2</t>
  </si>
  <si>
    <t>MIL 3</t>
  </si>
  <si>
    <t>GEN-TOTAL</t>
  </si>
  <si>
    <t>Overall level</t>
  </si>
  <si>
    <t>Parameter</t>
  </si>
  <si>
    <t xml:space="preserve">Avaintenhallintainfrastruktuuri (esim. avainten luonti, säilytys, tuhoaminen, päivittäminen ja kumoaminen) on määritetty ja toteutettu tiedon suojaamiseksi talletuksen ja siirron aikana. </t>
  </si>
  <si>
    <t>Suojattavan omaisuuden konfiguraation hallinta</t>
  </si>
  <si>
    <t>Rekisteröityihin suojattaviin kohteisiin tehtävät muutokset testataan ennen toteutusta aina kun mahdollista.</t>
  </si>
  <si>
    <t>Rekisteröityihin suojattaviin kohteisiin tehtävien muutosten vaikutukset kyberturvallisuuteen testataan ennen toteutusta.</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</si>
  <si>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</si>
  <si>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Tilannekuvan laadun parantamiseksi käytössä on prosessi, jolla vastaanotettu kyberturvallisuustieto analysoidaan ja tietomassassa mahdollisesti olevat päällekkäisyydet poistetaan.</t>
  </si>
  <si>
    <t>Root privileges, administrative access, emergency access, and shared accounts receive additional scrutiny and monitoring</t>
  </si>
  <si>
    <t>Identiteetin- ja pääsynhallinta</t>
  </si>
  <si>
    <t>Käyttöoikeuksien hallinta</t>
  </si>
  <si>
    <t>Cybersecurity requirements are established for suppliers according to a defined practice, including requirements for secure software development practices where appropriate</t>
  </si>
  <si>
    <t>Evaluation and selection of suppliers and other external entities includes consideration of their ability to meet cybersecurity requirements</t>
  </si>
  <si>
    <t>Agreements with suppliers require notification of cybersecurity incidents related to the delivery of the product or service</t>
  </si>
  <si>
    <t>Suppliers and other external entities are periodically reviewed for their ability to continually meet the cybersecurity requirements</t>
  </si>
  <si>
    <t>Name</t>
  </si>
  <si>
    <t>Nimi</t>
  </si>
  <si>
    <t>Sector</t>
  </si>
  <si>
    <t>Contact person</t>
  </si>
  <si>
    <t>Kuvaus arvioitavasta toiminnan osa-alueesta</t>
  </si>
  <si>
    <t>Description of the function in scope of the assessment</t>
  </si>
  <si>
    <t>Kyberturvallisuuden arviointi</t>
  </si>
  <si>
    <t>Level of Cybersecurity Investment</t>
  </si>
  <si>
    <t>Data import and export</t>
  </si>
  <si>
    <t>Organisaatio</t>
  </si>
  <si>
    <t>Cybersecurity Maturity Level</t>
  </si>
  <si>
    <t>Kybertietoisuuden lisääminen</t>
  </si>
  <si>
    <t>Kyberturvallisuuteen liittyvät vastuut on dokumentoitu (esim. osana tehtävänkuvauksia tai suoriutumistavoitteita).</t>
  </si>
  <si>
    <t>Kyberturvallisuuteen liittyvät vastuut ja työtehtävien vaatimukset katselmoidaan ja päivitetään organisaation määrittämin aikavälein (esim. tietyin aikavälein, henkilöstön vaihtuessa tai toimintatapojen muuttuessa).</t>
  </si>
  <si>
    <t>Cybersecurity training is provided as a prerequisite to granting access to assets that support the delivery of the function (e.g., new personnel training, personnel transfer training)</t>
  </si>
  <si>
    <t>Koulutusohjelmiin sisältyy mahdollisuus jatko- ja lisäkoulutukseen niille työntekijöille, joilla on merkittäviä kyberturvallisuuteen liittyviä vastuita.</t>
  </si>
  <si>
    <t>Organisaatiolla on virallinen menettelytapa tilanteisiin, joissa työntekijät lyövät laimin turvapolitiikan tai -säännöstön asettamia vaatimuksia.</t>
  </si>
  <si>
    <t>The effectiveness of cybersecurity awareness activities is evaluated at an organization-defined frequency and improvements are made as appropriate</t>
  </si>
  <si>
    <t>Kybertietoisuuden lisäämiseen tähtäävien toimenpiteiden toimivuutta arvioidaan organisaation määrittelemin aikavälein ja niitä kehitetään tarpeen vaatiessa.</t>
  </si>
  <si>
    <t>Kybertietoisuuden toimenpiteisiin vaikuttavat organisaation ennalta määrittämät prosessit ja toimintamallit [kts. SITUATION-3h].</t>
  </si>
  <si>
    <t>Omaisuuden, muutoksen ja konfiguraation hallinta</t>
  </si>
  <si>
    <t>Verkkojen segmentointi osana kyberarkkitehtuuria</t>
  </si>
  <si>
    <t>Sovellusturvallisuus osana kyberarkkitehtuuria</t>
  </si>
  <si>
    <t>Tietojensuojelu osana kyberarkkitehtuuria</t>
  </si>
  <si>
    <t>Tietovarantojen rekisterin hallinta</t>
  </si>
  <si>
    <t>Kybertapahtumien havainnointi</t>
  </si>
  <si>
    <t>Kybertapahtumiin ja -häiriötilanteisiin reagointi</t>
  </si>
  <si>
    <t>Lokituksen toteuttaminen</t>
  </si>
  <si>
    <t>Monitoroinnin toteuttaminen</t>
  </si>
  <si>
    <t>Kyberhenkilöstön kehittäminen</t>
  </si>
  <si>
    <t>Tapahtumien ja häiriötilanteiden hallinta</t>
  </si>
  <si>
    <t>Jatkuvuussuunnitelmien sisältö kyberhäiriöiden osalta katselmoidaan ja päivitetään säännöllisesti.</t>
  </si>
  <si>
    <t>Kybertapahtumat kirjataan keskitetysti organisaation määrittämien kriteerien mukaisesti.</t>
  </si>
  <si>
    <t>Kybertapahtumiin ja -häiriöihin reagoidaan ennalta määritettyjen suunnitelmien ja prosessien mukaisesti.</t>
  </si>
  <si>
    <t>Kyberturvallisuuden vastuiden jakaminen</t>
  </si>
  <si>
    <t>Kun identiteettejä ei enää tarvita, ne poistetaan käytöstä ("deprovision") - ainakin tapauskohtaisesti.</t>
  </si>
  <si>
    <t>Kun käyttöoikeuksia ei enää tarvita, ne poistetaan käytöstä ("revoke") - ainakin tapauskohtaisesti.</t>
  </si>
  <si>
    <t>Organisaatiolla on kyberturvallisuusstrategia - vaikka sitä ei välttämättä kehitetä tai hallita systemaattisesti.</t>
  </si>
  <si>
    <t>Käyttöoikeusvaatimuksissa on huomioitu pienimmän valtuuden periaate ("least privilege") ja tehtävien eriyttämisen periaate ("separation of duties").</t>
  </si>
  <si>
    <t>Suojattavan omaisuuden omistaja tarkistaa ja hyväksyy käyttöoikeuspyynnöt.</t>
  </si>
  <si>
    <t>Poikkeavia kirjautumis- ja yhteydenmuodostusyrityksiä seurataan ja ne rekisteröidään mahdollisina kybertapahtumina.</t>
  </si>
  <si>
    <t>Organisaatiolla on strategia kyberarkkitehtuurille (joka sisältää kyberarkkitehtuurin tavoitteet, prioriteetit, vastuut, ja seurannan) - vaikka sitä ei välttämättä kehitetä systemaattisesti.</t>
  </si>
  <si>
    <t>Kyberarkkitehtuuri on dokumentoitu ja sitä pidetään yllä. Arkkitehtuuri kattaa organisaation IT- ja OT-järjestelmät ja -verkot ja noudattelee järjestelmien ja suojattavien kohteiden kategorisointia ja priorisointia.</t>
  </si>
  <si>
    <t>Kyberarkkitehtuurille on määritetty strategia, jota pidetään yllä. Kyberarkkitehtuuristrategia tukee organisaation laajempaa kyberstrategiaa [kts. PROGRAM-1b] ja yritysarkkitehtuuria sekä noudattaa niiden periaatteita ja vaatimuksia.</t>
  </si>
  <si>
    <t>Kyberarkkitehtuuri kattaa luottamuksellisuuteen, eheyteen ja saatavuuteen liittyvät vaatimukset toiminnan osa-alueen suojattaville kohteille.</t>
  </si>
  <si>
    <t>Toiminnan osa-alueen toimintavarmuuden kannalta tärkeät suojattavat kohteet on segmentoitu useisiin turvallisuusvyöhykkeisiin perustuen kyberarkkitehtuurissa määritettyihin kriteereihin (esim. riskiarviointien tulokset, turvallisuusvaatimukset, etäkäyttö, toiminnalliset vaatimukset).</t>
  </si>
  <si>
    <t>Kaikki suojattavat kohteet on segmentoitu turvallisuusvyöhykkeisiin perustuen kyberarkkitehtuurissa määritettyihin kriteereihin.</t>
  </si>
  <si>
    <t>Arkkitehtuurikatselmointiprosessi arvioi uusien ja päivitettyjen sovellusten turvallisuutta ennen tuotantoon vientiä [kts. ARCHITECTURE-1h].</t>
  </si>
  <si>
    <t>Arkaluontoisia tietoja suojataan siirron yhteydessä ("at transit") - ainakin tapauskohtaisesti [kts. ASSET-2c]. (Suojaustapoja voidaan käyttää esim. salausta, maskausta tai siirtoa suojatuissa kanavissa).</t>
  </si>
  <si>
    <t xml:space="preserve">Kyberarkkitehtuurin mukaiset salauksen hallintamenetelmät ja -käytännöt ("cryptographic controls") on määritetty ja toteutettu tiedon suojaamiseksi talletuksen ja siirron aikana. </t>
  </si>
  <si>
    <t>Kyberarkkitehtuuri sisältää turvallisuusvaatimuksiin perustuvia kontrolleja (esim. tiedon häviämisen estäminen, tietojen fyysinen exfiltrointi) tiedon suojaamiseksi järjestelmien sisällä ja järjestelmien välisessä tiedon siirrossa [kts. ARCHITECTURE-1e].</t>
  </si>
  <si>
    <t>Valittujen tietokategorioiden [kts. ASSET-2c] kohdalla kyberarkkitehtuuri pitää sisällään kontrollit kaiken tallennetun tiedon suojaamiseen (esim. oma konesali ja pilvipohjaiset tietovarastot ja -kannat).</t>
  </si>
  <si>
    <t>Valittujen tietokategorioiden kohdalla [kts. ASSET-2c] kyberarkkitehtuuri pitää sisällään suojausmenetelmät kaikelle siirrossa olevalle tiedolle (esim. sisäverkossa, verkkojen välisillä rajoilla ja ulkoisessa liikenteessä kuten pilviratkaisuissa).</t>
  </si>
  <si>
    <t>Kyberarkkitehtuuri kattaa suojausmenetelmät sovellusten, laiteohjelmistojen ja tiedon luvattomien muutosten varalle (virheet tai tahallinen toiminta).</t>
  </si>
  <si>
    <t>Omaisuusrekisteriä hyödynnetään kyberriskien tunnistamisessa (esim. tietojen paljastumisen, tuhoutumisen tai luvattomien muutosten riski).</t>
  </si>
  <si>
    <t>IT- ja OT-omaisuuden rekisterin hallinta</t>
  </si>
  <si>
    <t>Vakioidut perusasetukset huomioivat turvallisuusvyöhykkeistä [kts. ARCHITECTURE-2b] johdetut vaatimukset (esim. verkkolaitteiden konfiguraatiot on räätälöity vyöhykkeen liikennerajoitusten mukaisesti).</t>
  </si>
  <si>
    <t>Muutostenhallinnan lokitiedot sisältävät muutokset, jotka vaikuttavat suojattavien kohteiden kyberturvallisuusvaatimuksiin (saatavuus, eheys, luottamuksellisuus).</t>
  </si>
  <si>
    <t>Organisaatio arvioi säännöllisin väliajoin toimittajien ja muiden kolmansien osapuolten kykyä täyttää asetetut kyberturvallisuusvaatimukset.</t>
  </si>
  <si>
    <t>Kyberturvallisuusstrategia päivitetään vastaamaan liiketoiminnassa, toimintaympäristössä tai uhkaprofiilissa [kts. THREAT-1d] tapahtuvia muutoksia.</t>
  </si>
  <si>
    <t>Kyberturvallisuuden kehitysohjelma on perustettu kyberturvallisuusstrategian mukaisesti.</t>
  </si>
  <si>
    <t>Organisaatio on osoittanut riittävät resurssit (henkilöt, rahoitus ja työkalut), jotta kyberturvallisuuden kehitysohjelma voi toimia annetun strategian mukaisesti.</t>
  </si>
  <si>
    <t>Organisaation ylimmän johdon tuki kyberturvallisuuden kehitysohjelmalle on näkyvää ja aktiivista (esim. ylin johto tuo säännöllisesti esille kyberturvallisuuden tärkeyden organisaatiolle).</t>
  </si>
  <si>
    <t>Organisaation ylin johto tukee kyberturvallisuuspolitiikan -ja ohjeiden kehitystä, ylläpitoa ja täytäntöönpanoa.</t>
  </si>
  <si>
    <t>Vastuu kyberturvallisuuden hallintaohjelmasta on osoitettu organisaatiossa taholle/roolille, jolla on riittävät toimivaltuudet.</t>
  </si>
  <si>
    <t>Kyberturvallisuuden kehitysohjelmaan liittyvät sidosryhmät tunnistetaan ja osallistetaan.</t>
  </si>
  <si>
    <t>Kyberturvallisuuden kehitysohjelman suorituskykyä mitataan, jotta varmistetaan että se on kyberturvallisuusstrategian mukainen.</t>
  </si>
  <si>
    <t>Riippumaton taho arvioi, kuinka kyberturvallisuuden toimenpiteet noudattavat organisaation kyberturvallisuuspolitiikkaa-, -ohjeita ja -prosesseja. Tällaisia riippumattomia tahoja voi olla esim. kehitysohjelman ulkopuoliset ja suoraan organisaation hallituksen tai vastaavan hallintoelimen ohjauksessa olevat arvioijat.</t>
  </si>
  <si>
    <t>The cybersecurity program addresses and enables the achievement of regulatory compliance as appropriate</t>
  </si>
  <si>
    <t>Kyberturvallisuuden kehitysohjelma huomioi ja mahdollistaa sääntelyvaatimusten noudattamisen ("regulatory compliance").</t>
  </si>
  <si>
    <t>Jatkuvuussuunnitelmien kehittämisessä huomioidaan mahdollisten kybertapahtumien vaikutuksista tehdyt selvitykset ja niiden tulokset.</t>
  </si>
  <si>
    <t>Jatkuvuussuunnitelmia testataan arvioinneilla ja harjoituksilla organisaation määrittämin aikavälein (esim. läpikäynti, simulointiharjoitus, riippuvuusharjoitus, varmuuskopioiden palautustestaus).</t>
  </si>
  <si>
    <t>Jatkuvuussuunnitelmat kattavat kaikki ne riskit ja uhat jotka on tunnistettu organisaation riskitaksonomiassa [kts. RISK-2e] ja uhkaprofiilissa [kts. THREAT-1d].</t>
  </si>
  <si>
    <t>Jatkuvuussuunnitelmat katselmoidaan ja päivitetään säännöllisesti.</t>
  </si>
  <si>
    <t>Kybertapahtumien havaitsemistoimintoja ja -kyvykkyyttä kehitetään organisaation riskirekisterin [kts. RISK-1d] ja uhkaprofiilin [kts. THREAT-1d] tietojen perusteella  tunnettujen uhkien havaitsemiseksi ja tunnistettujen riskien seuraamiseksi.</t>
  </si>
  <si>
    <t>Kybertapahtumien tunnistamiseen käytetään organisaation koostamaa tilannekuvaa [kts. SITUATION-2i].</t>
  </si>
  <si>
    <t>Tapahtumien eskalointi perustuu määritettyihin kriteereihin.</t>
  </si>
  <si>
    <t>Kyberhäiriöiden ilmoituskriteerit noudattelevat organisaation yleisiä riskikriteereitä [kts. RISK-2b].</t>
  </si>
  <si>
    <t>Kyberhäiriöitä verrataan toisiinsa säännönmukaisuuksien ("patterns"), suuntausten ("trends") ja muiden yhteisten piirteiden tunnistamiseksi.</t>
  </si>
  <si>
    <t>Kybertapahtumat ja -häiriöt raportoidaan kyberturvallisuuden sidosryhmille - ainakin tapauskohtaisesti</t>
  </si>
  <si>
    <t>Kybertapahtumiin- ja häiriöihin reagoidaan ("execute incident response") - ainakin tapauskohtaisesti - tavoitteena rajoittaa häiriön vaikutusta toiminnan osa-alueeseen ja toiminnan palauttamiseksi normaaliin.</t>
  </si>
  <si>
    <t>Kybertapahtumien ja -häiriöiden juurisyyt analysoidaan ("root-cause analysis"), niistä otetaan opiksi ("lessons-learned") ja näiden pohjalta toteutetaan korjaavia toimenpiteitä (mkl. reagointisuunnitelmien päivitys).</t>
  </si>
  <si>
    <t>Kybertapahtumiin ja -häiriöihin reagointi koordinoidaan tarvittaessa poliisin tai muiden viranomaisten kanssa, mukaan lukien todisteiden kerääminen ja säilyttäminen.</t>
  </si>
  <si>
    <t>Monitoroinnille ja analysoinnille on asetettu vaatimukset, joita ylläpidetään ja joissa edellytetään tapahtumatiedon oikea-aikaista käsittelyä.</t>
  </si>
  <si>
    <t xml:space="preserve">Järjestelmiin on asetettu hälytysrajat auttamaan kybertapahtumien tunnistamista [kts. RESPONSE-1b]. </t>
  </si>
  <si>
    <t>Poikkeamien ja poikkeavan toiminnan indikaattorit arvioidaan ja päivitetään organisaation määrittämin aikavälein.</t>
  </si>
  <si>
    <t>Riskirekisterin [kts. RISK-1d] sisältöä käytetään tunnistamaan indikaattoreita, jotka viittaavat poikkeamiin tai poikkeavaan toimintaan.</t>
  </si>
  <si>
    <t>Organisaatio on määrittänyt, miten se viestii toiminnan osa-alueen kyberturvallisuuden nykytilan, ja pitää yllä tätä määrittelyä.</t>
  </si>
  <si>
    <t>Monitoroinnin tuottama tieto kootaan yhteen, se korreloidaan ja sitä käytetään miltei reaaliaikaisen kyberturvallisuuden tilannekuvan muodostamiseksi toiminnan osa-alueella.</t>
  </si>
  <si>
    <t>Organisaatiossa kerätään ja tarjotaan saataville organisaation ulkopuolista relevanttia tietoa tilannekuvan rikastamiseksi [kts. THREAT-1g, THREAT-2i].</t>
  </si>
  <si>
    <t>Tilannekuvan rikastamiseksi kerätään relevanttia tietoa koko organisaation laajuudelta.</t>
  </si>
  <si>
    <t>Monitoroinnin tuottama tieto kootaan yhteen toiminnan osa-alueen operatiivisen tilannekuvan muodostamiseksi.</t>
  </si>
  <si>
    <t>Kyberuhkatietoa kerätään ja tulkitaan toiminnan osa-alueen näkökulmasta - ainakin tapauskohtaisesti.</t>
  </si>
  <si>
    <t>Toiminnan osa-alueen toimintavarmuuden kannalta olennaisille uhkille tehdään tarvittavat toimenpiteet niiden hallitsemiseksi (esim. kontrollien implementointi, uhkatason seuranta) - ainakin tapauskohtaisesti.</t>
  </si>
  <si>
    <t>Tunnistetut uhat analysoidaan, priorisoidaan ja niihin vastataan tarvittavin keinoin.</t>
  </si>
  <si>
    <t>Uhat, jotka aiheuttavat riskin toiminnan osa-alueelle, viedään riskienhallintaprosessiin päätöksiä ja toimenpiteitä varten [kts. RISK-1e].</t>
  </si>
  <si>
    <t>Uhkien monitoroinnissa ja vastatoimissa hyödynnetään (ja tarvittaessa käynnistetään) organisaation ennalta määrättyjä toimintatapoja ("predefined states of operation") [kts. SITUATION-3h].</t>
  </si>
  <si>
    <t>Turvallisia ja automatisoituja työkulkuja hyödynnetään uhkatietojen julkaisuun, käsittelyyn, analysointiin sekä uhkatietoihin reagointiin.</t>
  </si>
  <si>
    <t>Uhkatietojen jakamisen kannalta olennaiset sidosryhmät on tunnistettu ja sitoutettu perustuen niiden merkitykseen toiminnan jatkuvuudesta (kuten valtio, liitännäiset organisaatiot, toimittajat, toimialan muut organisaatiot, sääntelyviranomaiset, tiedonjako-organisaatio ("information sharing and analysis centres, ISAC") tai organisaation sisäiset tahot).</t>
  </si>
  <si>
    <t>Kyberturvallisuuden sidosryhmät (esim. valtio, liitännäiset organisaatiot, toimittajat, toimialan muut organisaatiot, sääntelyviranomaiset tai organisaation sisäiset tahot) on tunnistettu ja heille ilmoitetaan kybertapahtumista ja -häiriöistä organisaation määrittelemien kriteereiden perusteella [kts. SITUATION-3d].</t>
  </si>
  <si>
    <t>Organisaatio on tunnistanut tiedonlähteet haavoittuvuuksien tunnistamista varten (esim. CERT-FI, ISAC-ryhmät, toimialan muut organisaatiot, toimittajat tai sisäiset arvioinnit) - ainakin tapauskohtaisesti.</t>
  </si>
  <si>
    <t>Haavoittuvuustietoa kerätään ja tulkitaan toiminnan osa-alueen näkökulmasta - ainakin tapauskohtaisesti.</t>
  </si>
  <si>
    <t>Haavoittuvuuskartoituksia suoritetaan (esim. elinkaaren tai käyttötuen loppupuolella olevien sovellusten ja laitteiden läpikäynti, haavoittuvuusskannaukset, tunkeutumistestaukset) - ainakin tapauskohtaisesti.</t>
  </si>
  <si>
    <t>Tunnistetut haavoittuvuudet analysoidaan, priorisoidaan ja niihin vastataan tarvittavin keinoin. Työkaluna käytetään esimerkiksi NIST Common Vulnerability Scoring System-määrittelyä sovellushaavoittuvuuksiin tai sisäisiä ohjeita muun tyyppisiin haavoittuvuuksiin.</t>
  </si>
  <si>
    <t>Tietoa löydetyistä haavoittuvuuksista jaetaan organisaation määrittelemille sidosryhmille.</t>
  </si>
  <si>
    <t>Haavoittuvuuskartoitukset suorittaa operatiivisesta organisaatiosta riippumaton taho.</t>
  </si>
  <si>
    <t>Tunnistetut haavoittuvuudet, jotka aiheuttavat riskin toiminnan osa-alueelle, viedään riskienhallintaprosessiin käsiteltäväksi [kts. RISK-1e].</t>
  </si>
  <si>
    <t>Riskien jatkuva monitorointi kattaa haavoittuvuuksille tehtyjen toimenpiteiden (esim. ohjelmistokorjausten asentaminen tai muut toimenpiteet) arvioinnin sekä varmistamisen silloin kun se on tarpeellista.</t>
  </si>
  <si>
    <t>Organisaation kybertyöntekijöiden koulutus-, rekrytointi ja sitouttamistoimenpiteiden suunnittelussa huomioidaan tunnistetut puutteet.</t>
  </si>
  <si>
    <t>Työntekijöiden sisäisiin siirtoihin liittyvissä menettelyissä on huomioitu kyberturvallisuus.</t>
  </si>
  <si>
    <t>Organisaatio on asettanut tavoitteet henkilöstön kybertietoisuuden lisäämiseen tähtääville toimenpiteille ja näitä tavoitteita päivitetään.</t>
  </si>
  <si>
    <t>Hankittavien sovellusten (esim. mobiilisovellukset, omaan ympäristöön asennettavat sovellukset, SaaS-sovellukset) yhtenä valintakriteerinä käytetään toimittajan turvallisen sovelluskehityksen periaatteita [kts. DEPENDENCIES-2e]. (Koskee sovelluksia, joita hankitaan toiminnan osa-alueen toimintavarmuuden kannalta tärkeisiin suojattaviin kohteisiin).</t>
  </si>
  <si>
    <t>Kyberturvallisuuskoulutus on edellytyksenä pääsyoikeuksien myöntämiselle toiminnan osa-alueen toimintavarmuuden kannalta kriittisiin suojattaviin kohteisiin (esim. uusien tai siirtyvien työntekijöiden perehdyttämiskoulutus).</t>
  </si>
  <si>
    <t>Niille työntekijöille, joilla on pääsy toiminnan osa-alueen toimintavarmuuden kannalta kriittisiin suojattaviin kohteisiin, teetetään asianmukainen taustatarkistus organisaation määrittelemin aikavälein.</t>
  </si>
  <si>
    <t>Vakioituja perusasetuksia käytetään suojattavien kohteiden käyttöönotossa ja käyttöön palautuksessa - ainakin tapauskohtaisesti.</t>
  </si>
  <si>
    <t>Rekisteröityihin suojattaviin kohteisiin tehtävät muutokset katselmoidaan ennen toteutusta - ainakin tapauskohtaisesti.</t>
  </si>
  <si>
    <t>Suojattavien kohteiden muutoksenhallinta</t>
  </si>
  <si>
    <t>Jatkuvuussuunnitelmissa on määritetty toipumisaika ("RTO, Recovery Time Objective") sekä toipumispiste ("Recovery Point Objective, RPO") toiminnan osa-alueen toimintavarmuuden kannalta tärkeille suojattaville kohteille ja omaisuudelle.</t>
  </si>
  <si>
    <t>Toiminnalle tärkeistä suojattavista kohteista kerätään lokeja silloin, kun se on kustannustehokasta - ja ainakin tapauskohtaisesti.</t>
  </si>
  <si>
    <t>Lokitusvaatimukset on määritelty kaikille toiminnan osa-alueen toimintavarmuuden kannalta tärkeille suojattaville kohteille.</t>
  </si>
  <si>
    <t>Organisaatio monitoroi kaikkia niitä haavoittuvuustiedon lähteitä, jotka yhdessä kattavat kaikki toiminnan osa-alueen kannalta tärkeät suojattavat kohteet.</t>
  </si>
  <si>
    <t>Kun identiteettejä ei enää tarvita, ne poistetaan käytöstä ("deprovision") vähintään organisaation määrittelemien enimmäismääräaikojen sisällä.</t>
  </si>
  <si>
    <t>Turvallisuustestausta (esim. staattinen analyysi, dynaaminen testaus, fuzzaus, murtotestaus) tehdään sisäisesti kehitettyihin ja räätälöityihin sovelluksiin. Testausta tehdään tunnistettujen riskien perusteella, käyttäen organisaation määrittämiä kriteerejä (esim. toteuttamisesta kulunut aika, muutokset sovelluksissa tai muutokset uhkaympäristössä).</t>
  </si>
  <si>
    <t>Jatkuvuussuunnitelmia testataan arvioinneilla ja harjoituksilla organisaation määrittämin aikavälein ja niissä huomioidaan ajankohtaiset kyberuhkaskenaariot.</t>
  </si>
  <si>
    <t>Kybertapahtumiin ja -häiriöihin reagoimista (ennalta märiteltyjen suunnitelmien mukaisesti) harjoitellaan organisaation määrittämin aikavälein.</t>
  </si>
  <si>
    <t>Tietojen suojausta testataan (esim. kontrollien katselmoinnit) organisaation määrittelemien kriteereiden mukaisesti (esim. toteuttamisesta kulunut aika, muutokset järjestelmäarkkitehtuurissa tai muutokset uhkaympäristössä).</t>
  </si>
  <si>
    <t>Haavoittuvuuskartoituksia suoritetaan organisaation määrittelemin aikavälein.</t>
  </si>
  <si>
    <t>Tilannekuvan raportoinnin osalta on määritetty vaatimukset, jotka käsittelevät myös kyberturvallisuustiedon oikea-aikaista jakamista organisaation määrittelemille sidosryhmillä (kuten valtio, liitännäiset organisaatiot, toimittajat, toimialan muut organisaatiot, sääntelyviranomaiset tai organisaation sisäiset tahot).</t>
  </si>
  <si>
    <t>Haavoittuvuuskartoituksia suoritetaan kaikille toiminnan osa-alueen toimintavarmuuden kannalta tärkeille suojattaville kohteille organisaation määrittelemin aikavälein.</t>
  </si>
  <si>
    <t>Yleisiä hallintatoimia</t>
  </si>
  <si>
    <t>Identiteetin- ja pääsynhallinnan (ACCESS) osioon liittyen on määritetty dokumentoidut käytännöt, joita noudatetaan ja pidetään yllä.</t>
  </si>
  <si>
    <t>Identiteetin- ja pääsynhallinnan (ACCESS) osion toimintaa suorittavilla työntekijöillä on riittävät tiedot ja taidot tehtäviensä suorittamiseen.</t>
  </si>
  <si>
    <t>Identiteetin- ja pääsynhallinnan (ACCESS) osion toimintaan on saatavilla riittävät resurssit (henkilöstö, rahoitus ja työkalut).</t>
  </si>
  <si>
    <t>Identiteetin- ja pääsynhallinnan (ACCESS) osion toiminnalle on määritetty suoriutumistavoitteet, joiden toteutumista seurataan [kts. PROGRAM-1b].</t>
  </si>
  <si>
    <t>Verkkojen segmentointi voidaan toteuttaa fyysisellä ja/tai loogisella tasolla ja sen tarkoitus on pienentää hyökkäyspinta-alaa. Optimitilanteessa jokaiselle laitteelle on perusteltu syy sen sijoittamiseen tiettyyn verkkosegmenttiin.</t>
  </si>
  <si>
    <t>Sovellusturvallisuus on keskeisessä roolissa kyberarkkitehtuurissa, kun suojataan käyttäjiä ja tietoa. Kehitettävien sovelluksien tulee olla resilienttejä myös epäsuotuisissa olosuhteissa ja väärinkäyttöä vastaan. Sovellusturvallisuus tulee huomioida myös käytettäessä kolmansien osapuolien ratkaisuja.</t>
  </si>
  <si>
    <t>Kyberarkkitehtuuri rakentuu suojattavan tiedon ympärille. Jotta sensitiivistä tietoa voidaan suojata, tulee se ensin tunnistaa. Suojaamiseen käytettävien kontrollien ja keinojen, kuten avaintenhallinnan prosessien, tulee olla toteutettu ja käytössä.</t>
  </si>
  <si>
    <t>Kyberturvallisuusarkkitehtuurin (ARCHITECTURE) osioon liittyen on määritetty dokumentoidut käytännöt, joita noudatetaan ja pidetään yllä.</t>
  </si>
  <si>
    <t>Kyberturvallisuusarkkitehtuurin (ARCHITECTURE) osion toimintaan on saatavilla riittävät resurssit (henkilöstö, rahoitus ja työkalut).</t>
  </si>
  <si>
    <t>Kyberturvallisuusarkkitehtuurin (ARCHITECTURE) osion toimintaa suorittavilla työntekijöillä on riittävät tiedot ja taidot tehtäviensä suorittamiseen.</t>
  </si>
  <si>
    <t>Kyberturvallisuusarkkitehtuurin (ARCHITECTURE) osion toiminnalle on määritetty suoriutumistavoitteet, joiden toteutumista seurataan [kts. PROGRAM-1b].</t>
  </si>
  <si>
    <t>Omaisuuden, muutoksen ja konfiguraation hallinnan (ASSET) osioon liittyen on määritetty dokumentoidut käytännöt, joita noudatetaan ja pidetään yllä.</t>
  </si>
  <si>
    <t>Omaisuuden, muutoksen ja konfiguraation hallinnan (ASSET) osion toimintaan on saatavilla riittävät resurssit (henkilöstö, rahoitus ja työkalut).</t>
  </si>
  <si>
    <t>Omaisuuden, muutoksen ja konfiguraation hallinnan (ASSET) osion toimintaa suorittavilla työntekijöillä on riittävät tiedot ja taidot tehtäviensä suorittamiseen.</t>
  </si>
  <si>
    <t>Omaisuuden, muutoksen ja konfiguraation hallinnan (ASSET) osion toiminnalle on määritetty suoriutumistavoitteet, joiden toteutumista seurataan [kts. PROGRAM-1b].</t>
  </si>
  <si>
    <t>Toimitusketjun ja ulkoisten riippuvuuksien hallinnan (DEPENDENCIES) osioon liittyen on määritetty dokumentoidut käytännöt, joita noudatetaan ja pidetään yllä.</t>
  </si>
  <si>
    <t>Toimitusketjun ja ulkoisten riippuvuuksien hallinnan (DEPENDENCIES) osion toimintaan on saatavilla riittävät resurssit (henkilöstö, rahoitus ja työkalut).</t>
  </si>
  <si>
    <t>Toimitusketjun ja ulkoisten riippuvuuksien hallinnan (DEPENDENCIES) osion toimintaa suorittavilla työntekijöillä on riittävät tiedot ja taidot tehtäviensä suorittamiseen.</t>
  </si>
  <si>
    <t>Toimitusketjun ja ulkoisten riippuvuuksien hallinnan (DEPENDENCIES) osion toiminnalle on määritetty suoriutumistavoitteet, joiden toteutumista seurataan [kts. PROGRAM-1b].</t>
  </si>
  <si>
    <t>Kyberturvallisuusohjelma</t>
  </si>
  <si>
    <t>PROGRAM-4g</t>
  </si>
  <si>
    <t>Kyberturvallisuusohjelman (PROGRAM) osioon liittyen on määritetty dokumentoidut käytännöt, joita noudatetaan ja pidetään yllä.</t>
  </si>
  <si>
    <t>Kyberturvallisuusohjelman (PROGRAM) osion toimintaan on saatavilla riittävät resurssit (henkilöstö, rahoitus ja työkalut).</t>
  </si>
  <si>
    <t>Kyberturvallisuusohjelman (PROGRAM) osion toimintaa suorittavilla työntekijöillä on riittävät tiedot ja taidot tehtäviensä suorittamiseen.</t>
  </si>
  <si>
    <t>Kyberturvallisuusohjelman (PROGRAM) osion toiminnalle on määritetty suoriutumistavoitteet, joiden toteutumista seurataan [kts. PROGRAM-1b].</t>
  </si>
  <si>
    <t>Adequate resources (people, funding, and tools) are provided to support activities in the PROGRAM domain</t>
  </si>
  <si>
    <t>Kybertapahtumien havainnoinnin (RESPONSE) osioon liittyen on määritetty dokumentoidut käytännöt, joita noudatetaan ja pidetään yllä.</t>
  </si>
  <si>
    <t>Kybertapahtumien havainnoinnin (RESPONSE) osion toimintaan on saatavilla riittävät resurssit (henkilöstö, rahoitus ja työkalut).</t>
  </si>
  <si>
    <t>Kybertapahtumien havainnoinnin (RESPONSE) osion toimintaa suorittavilla työntekijöillä on riittävät tiedot ja taidot tehtäviensä suorittamiseen.</t>
  </si>
  <si>
    <t>Kybertapahtumien havainnoinnin (RESPONSE) osion toiminnalle on määritetty suoriutumistavoitteet, joiden toteutumista seurataan [kts. PROGRAM-1b].</t>
  </si>
  <si>
    <t>Riskienhallinnan (RISK) osioon liittyen on määritetty dokumentoidut käytännöt, joita noudatetaan ja pidetään yllä.</t>
  </si>
  <si>
    <t>Riskienhallinnan (RISK) osion toimintaan on saatavilla riittävät resurssit (henkilöstö, rahoitus ja työkalut).</t>
  </si>
  <si>
    <t>Riskienhallinnan (RISK) osion toimintaa suorittavilla työntekijöillä on riittävät tiedot ja taidot tehtäviensä suorittamiseen.</t>
  </si>
  <si>
    <t>Riskienhallinnan (RISK) osion toiminnalle on määritetty suoriutumistavoitteet, joiden toteutumista seurataan [kts. PROGRAM-1b].</t>
  </si>
  <si>
    <t>Tilannekuvan (SITUATION) osioon liittyen on määritetty dokumentoidut käytännöt, joita noudatetaan ja pidetään yllä.</t>
  </si>
  <si>
    <t>Tilannekuvan (SITUATION) osion toimintaan on saatavilla riittävät resurssit (henkilöstö, rahoitus ja työkalut).</t>
  </si>
  <si>
    <t>Tilannekuvan (SITUATION) osion toimintaa suorittavilla työntekijöillä on riittävät tiedot ja taidot tehtäviensä suorittamiseen.</t>
  </si>
  <si>
    <t>Tilannekuvan (SITUATION) osion toiminnalle on määritetty suoriutumistavoitteet, joiden toteutumista seurataan [kts. PROGRAM-1b].</t>
  </si>
  <si>
    <t>Uhkien ja haavoittuvuuksien hallinnan (THREAT) osioon liittyen on määritetty dokumentoidut käytännöt, joita noudatetaan ja pidetään yllä.</t>
  </si>
  <si>
    <t>Uhkien ja haavoittuvuuksien hallinnan (THREAT) osion toimintaan on saatavilla riittävät resurssit (henkilöstö, rahoitus ja työkalut).</t>
  </si>
  <si>
    <t>Uhkien ja haavoittuvuuksien hallinnan (THREAT) osion toimintaa suorittavilla työntekijöillä on riittävät tiedot ja taidot tehtäviensä suorittamiseen.</t>
  </si>
  <si>
    <t>Uhkien ja haavoittuvuuksien hallinnan (THREAT) osion toiminnalle on määritetty suoriutumistavoitteet, joiden toteutumista seurataan [kts. PROGRAM-1b].</t>
  </si>
  <si>
    <t>Henkilöstöhallinnan (WORKFORCE) osioon liittyen on määritetty dokumentoidut käytännöt, joita noudatetaan ja pidetään yllä.</t>
  </si>
  <si>
    <t>Henkilöstöhallinnan (WORKFORCE) osion toimintaan on saatavilla riittävät resurssit (henkilöstö, rahoitus ja työkalut).</t>
  </si>
  <si>
    <t>Henkilöstöhallinnan (WORKFORCE) osion toimintaa suorittavilla työntekijöillä on riittävät tiedot ja taidot tehtäviensä suorittamiseen.</t>
  </si>
  <si>
    <t>Henkilöstöhallinnan (WORKFORCE) osion toiminnalle on määritetty suoriutumistavoitteet, joiden toteutumista seurataan [kts. PROGRAM-1b].</t>
  </si>
  <si>
    <t>Kyberturvallisuustrategia määrittää organisaation kyberturvallisuusohjelman hallintamallin ("governance") ja valvontatoimet.</t>
  </si>
  <si>
    <t>Kyberturvallisuustrategia määrittelee kyberturvallisuusohjelman rakenteen ja organisaation.</t>
  </si>
  <si>
    <t>Kyberturvallisuusstrategiassa on tunnistettu kaikki olennaiset vaatimustenmukaisuusvaatimukset ("compliance requirements"), jotka ohjelman tulee toteuttaa.</t>
  </si>
  <si>
    <t>Kyberturvallisuusstrategiassa on tunnistettu standardit ja/tai ohjeet, joita ohjelman tulisi noudattaa.</t>
  </si>
  <si>
    <t>Johdon tuki kyberturvallisuusohjelmalle</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</si>
  <si>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</si>
  <si>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Haavoittuvuuksien rajoittaminen</t>
  </si>
  <si>
    <t>KYBERMITTARI-10</t>
  </si>
  <si>
    <t>KYBERMITTARI-11</t>
  </si>
  <si>
    <t>KYBERMITTARI-12</t>
  </si>
  <si>
    <t>KYBERMITTARI-13</t>
  </si>
  <si>
    <t>KYBERMITTARI-14</t>
  </si>
  <si>
    <t>KYBERMITTARI-15</t>
  </si>
  <si>
    <t>KYBERMITTARI-16</t>
  </si>
  <si>
    <t>KYBERMITTARI-17</t>
  </si>
  <si>
    <t>KYBERMITTARI-20</t>
  </si>
  <si>
    <t>KYBERMITTARI-21</t>
  </si>
  <si>
    <t>KYBERMITTARI-22</t>
  </si>
  <si>
    <t>KYBERMITTARI-30</t>
  </si>
  <si>
    <t>KYBERMITTARI-31</t>
  </si>
  <si>
    <t>Cybersecurity Self-assessment Tool</t>
  </si>
  <si>
    <t>Threat Scenario</t>
  </si>
  <si>
    <t>Toiminnan osa-alueen yhteiskunnallinen vaikuttavuus</t>
  </si>
  <si>
    <t>Tulosten vienti ja tuonti (DataExport-välilehti)</t>
  </si>
  <si>
    <t>Level of cybersecurity investments (Investment-sheet)</t>
  </si>
  <si>
    <t>Kyberturvallisuuden investointien taso (Investment-välilehti)</t>
  </si>
  <si>
    <t>KYBERMITTARI-23</t>
  </si>
  <si>
    <t>Cybersecurity Assessment</t>
  </si>
  <si>
    <t>Tulokset ja vertailutiedot</t>
  </si>
  <si>
    <t>Results and reference data</t>
  </si>
  <si>
    <t>Kyberturvallisuuden osiot</t>
  </si>
  <si>
    <t>Cybersecurity domains</t>
  </si>
  <si>
    <t>Importing reference data and exporting results</t>
  </si>
  <si>
    <t>Vertailutietojen tuonti ja arviointitulosten vienti</t>
  </si>
  <si>
    <t>KYBERMITTARI-32</t>
  </si>
  <si>
    <t>KYBERMITTARI-33</t>
  </si>
  <si>
    <t>KYBERMITTARI-34</t>
  </si>
  <si>
    <t>Management report (R1-sheet)</t>
  </si>
  <si>
    <t>Johdon kypsyysraportti (R1-välilehti)</t>
  </si>
  <si>
    <t>Kybermittarin kypsyysraportti (R2-välilehti)</t>
  </si>
  <si>
    <t>Cybersecurity maturity report (R2-sheet)</t>
  </si>
  <si>
    <t>Yksityiskohtainen NIST Framework Core -raportti (R3-välilehti)</t>
  </si>
  <si>
    <t>Detailed NIST Framework Core report (R3-sheet)</t>
  </si>
  <si>
    <t>GEN-SEC</t>
  </si>
  <si>
    <t>Johdon kypsyysraportti (R1)</t>
  </si>
  <si>
    <t>Kybermittarin kypsyysraportti (R2)</t>
  </si>
  <si>
    <t>Cybersecurity maturity report (R2)</t>
  </si>
  <si>
    <t>Åtkomstkontroll och administration av åtkomsträttigheter</t>
  </si>
  <si>
    <t>Skapa och administrera identiteter för aktörer som kan beviljas logiska eller fysiska åtkomsträttigheter till skyddade objekt i organisationen. Kontrollera åtkomsten till skyddade objekt i organisationen med hänsyn till riskerna mot den kritiska infrastrukturen och organisationens mål.</t>
  </si>
  <si>
    <t>Specificera och administrera identiteter</t>
  </si>
  <si>
    <t>Specificering och administration av identiteter inleds genom aktivering och deaktivering av rättigheter (deaktivering av identiteter som inte längre behövs). Entiteterna kan utgöras av individer (interna eller externa), men även av enheter, system eller processer som behöver rättigheter till skyddade objekt. I vissa fall kan det vara nödvändigt att använda delade åtkomsträttigheter. Administration av delade åtkomsträttigheter kan kräva ersättande åtgärder för att garantera en tillräcklig säkerhet. Kontroll av rättigheter kräver spårbarhet (kontroll av om alla identiteter gäller) och deaktivering av rättigheter när dessa inte längre behövs.</t>
  </si>
  <si>
    <t>Identiteter skapas, åtminstone i enskilda fall, för personer och andra entiteter (t.ex. enheter, programprocesser) som behöver åtkomst till det skyddade objektet (observera att denna kontroll inte utgör hinder för att använda delade identiteter)</t>
  </si>
  <si>
    <t xml:space="preserve">ID-koder (t.ex. lösenord, certifikat, smartkort, nycklar, kodkombinationer för lås) skapas, åtminstone i enskilda fall, för personer och andra entiteter som behöver åtkomst till det skyddade objektet </t>
  </si>
  <si>
    <t>Identiteter deaktiveras när de inte längre behövs.</t>
  </si>
  <si>
    <t>Databasen över identiteter granskas och uppdateras vid tidpunkter som organisationen har fastställt för att säkerställa att de lagrade identiteterna är nödvändiga och korrekta.</t>
  </si>
  <si>
    <t>ID-koderna (t.ex. lösenorden, certifikaten, smartkorten, nycklarna) granskas regelbundet i syfte att kontrollera att de tillhör rätt person eller annan entitet.</t>
  </si>
  <si>
    <t>Identiteter deaktiveras inom den tid som organisationen har fastställt, när de inte längre behövs.</t>
  </si>
  <si>
    <t>Identifieringsmetoder (t.ex. stark autentisering) väljs riskbaserat (RISK-2b) och med beaktande av cybersäkerhetsarkitekturen (t.ex. krav på identifiering mellan säkerhetszoner (ARCHITECTURE-2b))</t>
  </si>
  <si>
    <t>Administrera åtkomsträttigheter</t>
  </si>
  <si>
    <t>Administration av åtkomsträttigheter omfattar följande: fastställa åtkomstkrav, bevilja rättigheter utifrån åtkomstkraven och deaktivera rättigheterna när dessa inte längre behövs. Åtkomsträttigheter är kopplade till skyddade objekt och definierar vilka som har åtkomsträtt till objekt som är skyddade med åtkomsträttigheter samt begränsar åtkomsten till skyddade objekt och autentiseringsparametrar. En leverantörs åtkomst till ett visst skyddat objekt genom distansuppkoppling kan till exempel endast vara begränsad till vissa på förhand överenskomna tidpunkter och kräva en tvåfaktorsautentisering. På högre mognadsnivåer kontrolleras beviljandet av åtkomsträttigheter noggrannare. Åtkomsträttigheter beviljas inte förrän en riskbedömning har gjorts, och rättigheterna granskas regelbundet.</t>
  </si>
  <si>
    <t>Åtkomstkrav (t.ex. vilka typer av entiteter som får åtkomst till ett skyddat objekt, i vilken omfattning åtkomst tillåts, begränsningar i fjärråtkomst och identifieringsparametrar) har fastställts åtminstone i enskilda fall.</t>
  </si>
  <si>
    <t>Identiteter beviljas åtkomst enligt fastställda principer, åtminstone i enskilda fall</t>
  </si>
  <si>
    <t xml:space="preserve">Åtkomsträttigheter deaktiveras när de inte längre behövs, åtminstone i enskilda fall </t>
  </si>
  <si>
    <t>I principerna för beviljande av åtkomst tas hänsyn till principerna om lägsta behörighet och åtskillnad i arbetsuppgifter.</t>
  </si>
  <si>
    <t>Ägaren till den tillgång som ska skyddas granskar och godkänner begäranden om åtkomsträttigheter.</t>
  </si>
  <si>
    <t>Root-behörigheter, systemadministratörs rättigheter, rättigheter till nödåtkomst och delade koder kontrolleras och godkänns enligt noggrannare rutiner än vad som tillämpas i fråga om vanliga rättigheter, och användningen av dem övervakas noggrannare.</t>
  </si>
  <si>
    <t>Åtkomsträttigheterna granskas och uppdateras enligt intervall som organisationen har fastställt, i syfte att bestämma fortsatt behov.</t>
  </si>
  <si>
    <t>Hanteringsåtgärder</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</si>
  <si>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</si>
  <si>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Dokumenterad praxis, som följs och uppdateras, har fastställts för ämnesområdet ACCESS</t>
  </si>
  <si>
    <t>Tillräckliga resurser (personal, finansiering, verktyg) finns att tillgå för att stöda funktioner i anslutning till ämnesområdet ACCESS</t>
  </si>
  <si>
    <t>Den personal som utför aktiviteter i anslutning till ämnesområdet ACCESS har de kunskaper och färdigheter som behövs för dessa uppgifter</t>
  </si>
  <si>
    <t>Personalen har tilldelats ansvar och befogenheter att utföra uppgifter i anslutning till ämnesområdet ACCESS.</t>
  </si>
  <si>
    <t>Aktiviteter i anslutning till ämnesområdet ACCESS baserar sig på dokumenterade policyer eller andra bestämmelser inom organisationen.</t>
  </si>
  <si>
    <t>För funktionerna inom ämnesområdet ACCESS finns fastställda prestationsmål och uppnåendet av målen följs upp (PROGRAM-1b)</t>
  </si>
  <si>
    <t>Dokumenterad praxis för ämnesområdet ACCESS har standardiserats och utvecklas i hela organisationen</t>
  </si>
  <si>
    <t>Cybersäkerhetsarkitektur</t>
  </si>
  <si>
    <t>Inför och uppdatera en struktur och strategi för kontroller, processer och övriga element i anslutning till organisationens cybersäkerhet genom att ställa dem i proportion till riskerna, den kritiska infrastrukturen och organisationens mål.</t>
  </si>
  <si>
    <t>Inför och uppdatera en strategi för cybersäkerhetsarkitektur</t>
  </si>
  <si>
    <t>En cybersäkerhetsarkitektur möjliggör en övergripande planering av informationssäkerheten. Med arkitekturen nås ett bättre slutresultat än genom att skapa enskilda lösningar för olika funktioner, såsom administration av identiteter eller passerkontroll.  Kritiska applikationer och data kan skyddas med metoder som är mest lämpliga i enskilda fall, exempelvis genom att förbättra observation, skydd, reaktion eller resiliens. Konkreta exempel på skyddsmetoder är nätsegmentering, underhållslösningar, kryptering och registreringskedjor. Dessa kan användas tillsammans med skyddsmetoder för tillgänglighet, såsom övervakning, resiliens och redundansgrad.
När cybersäkerhetsarkitekturen planeras för att fungera enhetligt tillsammans med helhetsarkitekturen, fungerar den som informationsindata för riskanalysen och konfigurationen av de objekt som ska skyddas.</t>
  </si>
  <si>
    <t>Organisationen har en strategi för cybersäkerhetsarkitekturen och strategin kan utvecklas och/eller hanteras i enskilda fall</t>
  </si>
  <si>
    <t>En strategi för cybersäkerhetsarkitekturen, som har fastställts och uppdateras, stöder organisationens cybersäkerhetsstrategi (PROGRAM-1b) och företagsarkitektur</t>
  </si>
  <si>
    <t>En dokumenterad cybersäkerhetsarkitektur innefattar IT- och OT-system och nät och ligger i linje med kategoriseringen och prioriteringen av systemen och de skyddade objekten</t>
  </si>
  <si>
    <t>En process för styrning av cybersäkerhetsarkitekturen, som har fastställts och underhålls, innefattar specifikationer för regelbundna arkitekturbaserade granskningar och en process för incidenthantering (t.ex. en arkitekturutvärderingskommission)</t>
  </si>
  <si>
    <t>Cybersäkerhetsarkitekturen innefattar krav på sekretess, integritet och tillgänglighet för skyddade objekt som ingår i tjänsten</t>
  </si>
  <si>
    <t>Cybersäkerhetsarkitekturen innefattar principerna för cybersäkerhet (t.ex. minsta funktionalitet, förbud som standard, minsta användarrättigheter)</t>
  </si>
  <si>
    <t>Strategin för cybersäkerhetsarkitektur ligger i linje med organisationens företagsarkitekturstrategi</t>
  </si>
  <si>
    <t>Cybersäkerhetsarkitekturens överensstämmelse med organisationens system och nät bedöms i enlighet med de kriterier som fastställts i organisationen (t.ex. förfluten tid och/eller ändringar i system, nät eller skyddade objekt)</t>
  </si>
  <si>
    <t>Cybersäkerhetsarkitekturen styrs av tillgänglig information från organisationens risktaxonomi (RISK-2e) och hotbild (THREAT-1d), så att organisationen vid implementeringen av skydd kan beakta de identifierade hoten</t>
  </si>
  <si>
    <t>Använd nätsegmentering som en del i cybersäkerhetsarkitekturen</t>
  </si>
  <si>
    <t>Organisationens IT-system har separerats från OT-systemen med hjälp av segmentering antingen fysiskt (t.ex. luftgap) eller logiskt (t.ex. nätkonfigurationer), åtminstone i enskilda fall</t>
  </si>
  <si>
    <t>Skyddade objekt som är viktiga för verksamheten har segmenterats i flera säkerhetszoner baserat på kriterier som fastställts i cybersäkerhetsarkitekturen (t.ex. riskbedömningarnas resultat, säkerhetskrav, distansanvändning, funktionella krav)</t>
  </si>
  <si>
    <t>Alla skyddade objekt har segmenterats i säkerhetszoner baserat på kriterier som fastställts i cybersäkerhetsarkitekturen</t>
  </si>
  <si>
    <t>Använd applikationssäkerhet som en del i cybersäkerhetsarkitekturen</t>
  </si>
  <si>
    <t>Applikationssäkerheten spelar en central roll i cybersäkerhetsarkitekturen vid skydd av användare och data. Applikationer som utvecklas ska vara resilienta även i ogynnsamma förhållanden. Applikationssäkerheten ska beaktas även när tredje parters lösningar används.</t>
  </si>
  <si>
    <t>När applikationer utvecklas internt för skyddade objekt som är viktiga för verksamheten följs principerna för säker applikationsutveckling</t>
  </si>
  <si>
    <t>Vid upphandling av applikationer för skyddade objekt som är viktiga för verksamheten (t.ex. mobilappar, applikationer som installeras i den egna miljön, SaaS-applikationer) beaktas leverantörens principer för säker applikationsutveckling (DEPENDENCIES-2e)</t>
  </si>
  <si>
    <t>Arkitekturgranskningsprocessen bedömer nya och på nytt granskade applikationers säkerhet innan applikationerna införs i produktionen (ARCHITECTURE-1h)</t>
  </si>
  <si>
    <t>Säkerhetstester (t.ex. en statisk analys, dynamiska tester, fuzzning, penetrationstest) görs på internt utvecklade och anpassade applikationer utifrån identifierade risker enligt de kriterier som fastställts i organisationen (t.ex. förfluten tid, ändringar i applikationer, ändringar i hotbilden)</t>
  </si>
  <si>
    <t>Använd skydd av information som en del i cybersäkerhetsarkitekturen</t>
  </si>
  <si>
    <t>Cybersäkerhetsarkitekturen byggs upp kring den information som ska skyddas. För att bäst kunna skydda sensitiv information, ska den identifieras, och kontroller och metoder för skydd av information, exempelvis en nyckelhanteringsprocess, ska användas.</t>
  </si>
  <si>
    <t>Känsliga uppgifter (t.ex. person-, betalkorts- och patientuppgifter samt immateriella rättigheter och operativ kunskap) skyddas lagrade (at rest) (t.ex. kryptering, datamaskering, lösenordsskydd, åtkomsthantering), åtminstone i enskilda fall</t>
  </si>
  <si>
    <t>Känsliga uppgifter (t.ex. person-, betalkorts- och patientuppgifter samt immateriella rättigheter och operativ kunskap) skyddas vid överföring (at transit) (t.ex. kryptering, datamaskering, överföring via skyddade kanaler), åtminstone i enskilda fall (ASSET-2c)</t>
  </si>
  <si>
    <t>Nyckelhanteringsinfrastrukturen (t.ex. skapande, lagring, destruering, uppdatering och upphävande av nycklar) har fastställts och administreras för skydd av information under lagring och vid överföring</t>
  </si>
  <si>
    <t>Praxis för hantering av kryptering har fastställts och utförs för skydd av lagrad information och vid överföring i enlighet med cybersäkerhetsarkitekturen</t>
  </si>
  <si>
    <t>Cybersäkerhetsarkitekturen innefattar kontroller som baserar sig på säkerhetskrav (t.ex. förhindrande av förlust av information, fysisk exfiltrering av information) och som görs för att skydda informationen inne i systemen och vid dataöverföring av information mellan systemen (ARCHITECTURE-1e)</t>
  </si>
  <si>
    <t>Cybersäkerhetsarkitekturen innefattar skydd av all lagrad information (t.ex. ett eget datacenter och molnbaserade datalager och databaser) i valda datakategorier (ASSET-2c)</t>
  </si>
  <si>
    <t>Cybersäkerhetsarkitekturen innefattar skydd av all information som överförs (t.ex. i ett internt nät, på gränsen mellan nät och i extern trafik, såsom i molnlösningar) i valda datakategorier (ASSET-2c)</t>
  </si>
  <si>
    <t>Skyddet av information testas (t.ex. granskningar av kontroller) i enlighet med de kriterier som fastställts i organisationen (t.ex. förfluten tid, ändringar i systemarkitekturen eller hotbilden)</t>
  </si>
  <si>
    <t>Cybersäkerhetsarkitekturen innefattar skydd mot obehöriga ändringar av applikationer, programvaror eller information (fel eller obehörig verksamhet)</t>
  </si>
  <si>
    <t>Dokumenterad praxis, som följs och uppdateras, har fastställts för delområdet ARCHITECTURE</t>
  </si>
  <si>
    <t>Tillräckliga resurser (personal, finansiering, verktyg) finns att tillgå för att stöda funktioner i anslutning till delområdet ARCHITECTURE</t>
  </si>
  <si>
    <t>Den personal som utför aktiviteter i anslutning till delområdet ARCHITECTURE har de kunskaper och färdigheter som behövs för dessa uppgifter</t>
  </si>
  <si>
    <t>Personalen har tilldelats ansvar och befogenheter att utföra uppgifter i anslutning till delområdet ARCHITECTURE.</t>
  </si>
  <si>
    <t>Aktiviteter i anslutning till delområdet ARCHITECTURE baserar sig på dokumenterade policyer eller andra bestämmelser inom organisationen.</t>
  </si>
  <si>
    <t>För funktionerna inom delområdet ARCHITECTURE finns fastställda prestationsmål och uppnåendet av målen följs upp (PROGRAM-1b)</t>
  </si>
  <si>
    <t>Dokumenterad praxis för delområdet ARCHITECTURE har standardiserats och utvecklas i hela organisationen</t>
  </si>
  <si>
    <t>Hantera skyddade objekt, ändringar och konfigurationer</t>
  </si>
  <si>
    <t>Hantera organisationens IT- och OT-tillgångar (inbegripet hårdvara och programvara) med hänsyn till riskerna mot den kritiska infrastrukturen och organisationens mål.</t>
  </si>
  <si>
    <t>Hantera förteckningarna över IT- och OT-tillgångar</t>
  </si>
  <si>
    <t>En förteckning över tillgångar som utgör skyddade objekt som är viktiga för tillhandahållandet av tjänsten är en viktig informationskälla för hantering av cybersäkerhetsrisker. Det är möjligt att vidta flera åtgärder för att hantera cybersäkerhet när viktig information, såsom nummer och fysiskt läge för programversioner samt ägare och prioriteringar av olika objekt, är registrerad. Den information som förteckningen över tillgångar innehåller kan till exempel ange var en programvara som behöver uppdateras är installerad.</t>
  </si>
  <si>
    <t>En förteckning över tillgångar, som förs åtminstone i enskilda fall, finns att tillgå över sådana skyddade objekt som är viktiga vid tillhandahållande av tjänster (IT- och OT-tillgångar).</t>
  </si>
  <si>
    <t>I förteckningarna över tillgångar antecknas uppgifter som organisationen behöver för att driva funktioner i anslutning till cybersäkerheten (PROGRAM-1a). Sådana uppgifter är till exempel läge, ägarskap till skyddade objekt, säkerhetskrav, beroendeförhållanden, servicenivåer, uppgifter om livscykel och tillgång på support och överensstämmelse med relevanta branschstandarder.</t>
  </si>
  <si>
    <t>De förtecknade skyddade objekten har prioriterats utgående från officiellt fastställda kriterier</t>
  </si>
  <si>
    <t>IT- och OT-tillgångarna är förtecknade för den tjänst som ska tillhandahållas</t>
  </si>
  <si>
    <t>Förteckningarna över tillgångar är uppdaterade enligt de kriterier som organisationen har fastställt.</t>
  </si>
  <si>
    <t>Förteckningarna över tillgångar används för att identifiera cybersäkerhetsrisker (t.ex. livscykel och tillgång på support; enskilda platser, där en funktionsstörning kan avbryta hela tjänsten)</t>
  </si>
  <si>
    <t>Administrera förteckningar över informationstillgångar</t>
  </si>
  <si>
    <t>En förteckning över tillgångar av skyddade objekt som är viktiga för leverans av den tjänst som tillhandahålls är en viktig informationskälla för hantering av cybersäkerhetsrisker. Det är möjligt att vidta flera åtgärder för att hantera cybersäkerhet när viktig information, såsom nummer och fysiskt läge för programversioner samt ägare och prioriteringar av olika objekt, är registrerad. Den information som förteckningen över tillgångar innehåller kan till exempel ange var en programvara som behöver uppdateras är installerad.</t>
  </si>
  <si>
    <t>Informationstillgångar som är viktiga för tillhandahållandet av tjänsten har förtecknats (t.ex. variabler i SCADA-systemen, kunduppgifter, finansiell information, loggdata). Förteckningar över informationstillgångar hanteras åtminstone i enskilda fall.</t>
  </si>
  <si>
    <t>I förteckningarna över tillgångar lagras sådan information som organisationen behöver för att driva de funktioner som har samband med cybersäkerhet (PROGRAM-1a) (t.ex. läge, ägarskap till skyddade objekt, säkerhetskrav, beroendeförhållanden, servicenivåer, uppgifter om livscykel och tillgång på support, överensstämmelse med krav)</t>
  </si>
  <si>
    <t>Förtecknade informationstillgångar har kategoriserats enligt en fastställd mall.</t>
  </si>
  <si>
    <t>Förteckningen omfattar alla informationstillgångar som är knutna till tillhandahållande av tjänsten.</t>
  </si>
  <si>
    <t>Förteckningarna över tillgångar används för att identifiera cybersäkerhetsrisker (t.ex. risk för att data röjs, förstörs eller ändras olovligt)</t>
  </si>
  <si>
    <t>Hantera konfigurationer av skyddade objekt</t>
  </si>
  <si>
    <t>Hantering av konfigurationer av skyddade objekt omfattar följande: fastställa standardiserade grundinställningar för skyddade informations-, IT- och OT-tillgångar och säkra installationen av grundinställningarna. Oftast säkrar dessa åtgärder att alla liknande objekt som ska skyddas har konfigurerats på samma sätt. Om skyddade objekt skiljer sig betydligt från varandra eller om vissa specifika inställningar måste användas genom hantering av konfigurationer, gäller det att kontrollera att grundinställningarna för konfiguration av objektet i fråga har fastställts och att fastställda inställningar kontinuerligt motsvarar fastställda grundinställningar.</t>
  </si>
  <si>
    <t>Standardiserade grundinställningar har fastställts för konfiguration av förtecknade skyddade objekt, åtminstone i enskilda fall, när det är nödvändigt att kontrollera att objekt som liknar varandra har konfigurerats på samma sätt.</t>
  </si>
  <si>
    <t>Standardiserade grundinställningar används, åtminstone i enskilda fall, vid ibruktagande och återställande av nya skyddade objekt.</t>
  </si>
  <si>
    <t>Cybersäkerhetsmålen har beaktats vid fastställandet av standardiserade grundinställningar (PROGRAM-1b).</t>
  </si>
  <si>
    <t xml:space="preserve">Överensstämmelsen av konfigurationen av skyddade objekt med standardiserade grundinställningar övervakas hela den tid som objekten används. </t>
  </si>
  <si>
    <t>De standardiserade grundinställningarna granskas och uppdateras vid tidpunkter som organisationen har fastställt.</t>
  </si>
  <si>
    <t>De standardiserade grundinställningarna innefattar krav på tillämpliga säkerhetszoner (ARCHITECTURE-2b) (t.ex. att konfigurationerna av nätutrustning har anpassats enligt zonens trafikbegränsningar)</t>
  </si>
  <si>
    <t>Hantering av ändringar i skyddade objekt</t>
  </si>
  <si>
    <t>Hantering av ändringar i skyddade objekt omfattar följande: granska begärandena om ändring så att ändringar som inte har godkänts inte införs i produktionsmiljön, driva en process som kontrollerar att alla ändringar följer processen för hantering av ändringar och identifiera obehöriga ändringar. Hantering av ändringar omfattar alla faser av skyddade objekts livscykel, inbegripet specifikationer, testning, införande och underhåll samt avveckling.</t>
  </si>
  <si>
    <t>Ändringar som ska göras i förtecknade skyddade objekt granskas före genomförandet, åtminstone i enskilda fall</t>
  </si>
  <si>
    <t>Ändringar som ska göras i förtecknade skyddade objekt loggas, åtminstone i enskilda fall</t>
  </si>
  <si>
    <t>Ändringar som ska göras i förtecknade skyddade objekt testas före genomförandet varje gång det är möjligt.</t>
  </si>
  <si>
    <t>Rutiner för hantering av ändringar omfattar alla faser av skyddade objekts livscykel (anskaffning, införande, användning och avveckling).</t>
  </si>
  <si>
    <t>Hur ändringar som görs i förtecknade skyddade objekt påverkar cybersäkerheten testas före genomförandet.</t>
  </si>
  <si>
    <t>Loggdata som tas fram vid hantering av ändringar innehåller ändringar som påverkar cybersäkerhetskraven (tillgänglighet, integritet, konfidentialitet) för skyddade objekt.</t>
  </si>
  <si>
    <t>Dokumenterade rutiner följs och upprätthålls i anslutning till uppgifter som utförs för skyddade objekt på ämnesområdet ASSET.</t>
  </si>
  <si>
    <t>Tillräckliga resurser (personal, finansiering, verktyg) finns att tillgå för uppgifter som ingår i ämnesområdet ASSET.</t>
  </si>
  <si>
    <t>Den personal som utför aktiviteter i anslutning till ämnesområdet ASSET har de kunskaper och färdigheter som behövs för dessa uppgifter</t>
  </si>
  <si>
    <t>Personalen har tilldelats ansvar och befogenheter att utföra uppgifter i anslutning till ämnesområdet ASSET.</t>
  </si>
  <si>
    <t>Aktiviteter i anslutning till ämnesområdet ASSET baserar sig på dokumenterade policyer eller andra bestämmelser inom organisationen.</t>
  </si>
  <si>
    <t>För funktionerna inom ämnesområdet ASSET finns fastställda prestationsmål och uppnåendet av målen följs upp (PROGRAM-1b)</t>
  </si>
  <si>
    <t>Dokumenterad praxis för ämnesområdet ASSET har standardiserats och utvecklas i hela organisationen</t>
  </si>
  <si>
    <t>Skydda kritiska tjänster</t>
  </si>
  <si>
    <t>Organisationen ska identifiera sin roll i tillhandahållandet av tjänster för samhället och hantera risker baserat på sin roll.</t>
  </si>
  <si>
    <t>Identifiera kritiska tjänster och beroendeförhållanden till tjänsterna</t>
  </si>
  <si>
    <t>Organisationen ska förstå sin roll i tillhandahållandet av kritiska tjänster för samhället, vilka krav tillhandahållandet av kritiska tjänster ställer och vilka konsekvenser ett misslyckat tillhandahållande kan ha.</t>
  </si>
  <si>
    <t>Kritiska tjänster som organisationen tillhandahåller samhället har identifierats och dokumenterats.</t>
  </si>
  <si>
    <t>Information som behövs för att tillhandahålla kritiska tjänster för samhället har identifierats och dokumenterats.</t>
  </si>
  <si>
    <t>Processer som behövs för att tillhandahålla kritiska tjänster för samhället har identifierats och dokumenterats.</t>
  </si>
  <si>
    <t>System (IT och OT) som behövs för att tillhandahålla kritiska tjänster för samhället har identifierats och dokumenterats.</t>
  </si>
  <si>
    <t>Utrustning och lokaler som behövs för att tillhandahålla kritiska tjänster för samhället har identifierats och dokumenterats.</t>
  </si>
  <si>
    <t>Leveranskedjor som behövs för att tillhandahålla kritiska tjänster för samhället har identifierats och dokumenterats.</t>
  </si>
  <si>
    <t>Det har fastställts en tidsfrist efter vilken den normala verksamheten i samhället påverkas betydligt, om de resurser (information, processer, system, rum, leveranskedja) som kritiska tjänster behöver inte är tillgängliga.</t>
  </si>
  <si>
    <t>Kedjeeffekter för samhället av att kritiska tjänster har försvagats eller avbrutits har identifierats och dokumenterats.</t>
  </si>
  <si>
    <t>Hantera kritiska tjänster</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</si>
  <si>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</si>
  <si>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Alla resurser (information, processer, system, rum, leveranskedjor) som behövs för att tillhandahålla samhälleligt kritiska tjänster omfattas av organisationens policyer och processer för säkerhetshantering.</t>
  </si>
  <si>
    <t>Alla resurser (information, processer, system, rum, leveranskedjor) som behövs för att tillhandahålla samhälleligt kritiska tjänster omfattas av organisationens policyer och processer för riskhantering.</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</si>
  <si>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</si>
  <si>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Ledningsgruppen behandlar säkerhetsnivån i informationsnätet och IT-systemen för tillhandahållande av kritiska tjänster för samhället utgående från uppdaterad och detaljerad information och handledning som ges av experter.</t>
  </si>
  <si>
    <t>En utsedd medlem i ledningsgruppen ansvarar för säkerhetsnivån i informationsnätet och IT-systemen för tillhandahållande av kritiska tjänster för samhället, och leder regelbundna diskussioner om ämnet i styrelsen.</t>
  </si>
  <si>
    <t>Den vision som ledningsgruppen har fastställt omvandlas till effektiva organisatoriska rutiner som styr och övervakar informationsnätet och IT-systemen för tillhandahållande av kritiska tjänster för samhället.</t>
  </si>
  <si>
    <t>Högsta ledningen har insyn i de viktigaste riskbesluten inom hela organisationen.</t>
  </si>
  <si>
    <t>De som fattar riskbeslut förstår sitt ansvar för att fatta effektiva och snabba beslut om kritiska system i enlighet med den riskaptit som ledningen i organisationen har fastställt.</t>
  </si>
  <si>
    <t>Beslutsfattandet i riskhanteringen delegeras och eskaleras vid behov i hela organisationen till personer som har sådana kunskaper, färdigheter, verktyg och behörigheter som de behöver.</t>
  </si>
  <si>
    <t>Riskbesluten granskas med jämna mellanrum i syfte att säkra att de fortfarande är betydelsefulla och giltiga.</t>
  </si>
  <si>
    <t>Resurser (information, processer, system, utrustning, leveranskedjor), en kritisk tidsperiod och kedjeeffekter beaktas i riskhanteringsprocessen och riskbesluten.</t>
  </si>
  <si>
    <t>Planen har dokumenterats och delats ut till alla relevanta berörda parter.</t>
  </si>
  <si>
    <t xml:space="preserve">Planen bygger på en klar förståelse av risker mot nät och informationssystem som behövs för att tillhandahålla kritiska tjänster. </t>
  </si>
  <si>
    <t>Planen har dokumenterats och integrerats i mer omfattande processer för hantering av organisationens affärsverksamhet och leveranskedja.</t>
  </si>
  <si>
    <t>Affärsenheter som tillhandahåller kritiska tjänster har tagit emot och förstår planen.</t>
  </si>
  <si>
    <t>Fastställ och underhåll kontroller för att hantera sådana cybersäkerhetsrisker mot tjänster och skyddade objekt som är beroende av externa entiteter, i förhållande till den kritiska infrastrukturen och riskerna mot organisationens mål.</t>
  </si>
  <si>
    <t>Identifiera beroendeförhållanden</t>
  </si>
  <si>
    <t>Identifiering av beroendeförhållanden omfattar att skapa och upprätthålla en övergripande förståelse av viktiga externa relationer som är delaktiga i tillhandahållandet av tjänster.</t>
  </si>
  <si>
    <t xml:space="preserve">Beroendeförhållanden till viktiga IT- och OT-leverantörer (t.ex. interna och externa leverantörer som leveransen av tjänsten är beroende av, inklusive partner på den operativa nivån) har identifierats åtminstone i enskilda fall </t>
  </si>
  <si>
    <t>Viktiga beroendeförhållanden till kunder (t.ex. interna och externa parter som är beroende av att den aktuella tjänsten levereras) har identifierats åtminstone i enskilda fall</t>
  </si>
  <si>
    <t>Beroendeförhållandena till olika leverantörer identifieras enligt fastställda kriterier.</t>
  </si>
  <si>
    <t>Kundernas beroendeförhållanden till organisationens tjänster identifieras enligt fastställda kriterier.</t>
  </si>
  <si>
    <t>Leverantörer som inte kan bytas ut och övriga viktiga beroendeförhållanden identifieras.</t>
  </si>
  <si>
    <t>Beroendeförhållandena har prioriterats.</t>
  </si>
  <si>
    <t>Organisationens riskkriterier (RISK-2b) används vid identifiering och prioritering av beroendeförhållanden</t>
  </si>
  <si>
    <t>Hantera beroenderisker</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</si>
  <si>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</si>
  <si>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Betydande risker mot cybersäkerheten till följd av beroendeförhållanden identifieras och åtgärdas åtminstone i enskilda fall</t>
  </si>
  <si>
    <t>Cybersäkerhetskraven beaktas, åtminstone i enskilda fall, när relationer ingås med leverantörer och andra externa parter</t>
  </si>
  <si>
    <t>Identifierade beroenderisker mot cybersäkerheten förs in i riskregistret (RISK-1d)</t>
  </si>
  <si>
    <t>Avtal med tredje parter innefattar skyldighet att dela information om hot mot cybersäkerheten.</t>
  </si>
  <si>
    <t>Cybersäkerhetskrav fastställs för leverantörer enligt fastställda rutiner. Kraven omfattar tillämpning av säkra metoder för programvaruutveckling, när programvaruutveckling utförs.</t>
  </si>
  <si>
    <t>Cybersäkerhetskrav ingår i avtalen med leverantörer och andra externa parter.</t>
  </si>
  <si>
    <t>I processen för val av leverantörer och andra externa samarbetspartner tas hänsyn till leverantörernas och samarbetspartnernas förmåga att uppfylla cybersäkerhetskraven.</t>
  </si>
  <si>
    <t>Avtal ålägger leverantörerna att rapportera cybersäkerhetsincidenter i anknytning till tjänster eller produkter.</t>
  </si>
  <si>
    <t>Leverantörers och andra externa samarbetspartners förmåga att uppfylla cybersäkerhetskraven utvärderas regelbundet till exempel genom leverantörsrevisioner.</t>
  </si>
  <si>
    <t>Cybersäkerhetskraven i anslutning till leverantörsberoendeförhållanden baserar sig på fastställda riskkriterier (RISK-2b)</t>
  </si>
  <si>
    <t>Vid valet av leverantör beaktas även tidpunkterna för när produktens eller tjänstens livscykel eller support upphör.</t>
  </si>
  <si>
    <t xml:space="preserve">Vid valet av leverantör beaktas nödvändiga åtgärder vad gäller förfalskade och riskutsatta programvaror, produkter eller tjänster </t>
  </si>
  <si>
    <t>Informationskällor följs upp för att risker i leveranskedjan ska kunna identifieras och undvikas (t.ex. förfalskade eller riskutsatta programvaror, produkter och tjänster)</t>
  </si>
  <si>
    <t>Godkännandetest för upphandlade skyddade objekt innefattar cybersäkerhetskrav</t>
  </si>
  <si>
    <t>Dokumenterad praxis, som följs och uppdateras, har fastställts för ämnesområdet DEPENDENCIES</t>
  </si>
  <si>
    <t>Tillräckliga resurser (personal, finansiering, verktyg) finns att tillgå för att stöda funktioner i anslutning till ämnesområdet DEPENDENCIES</t>
  </si>
  <si>
    <t>Den personal som utför aktiviteter i anslutning till ämnesområdet DEPENDENCIES har de kunskaper och färdigheter som behövs för dessa uppgifter</t>
  </si>
  <si>
    <t>Personalen har tilldelats ansvar och befogenheter att utföra uppgifter i anslutning till ämnesområdet DEPENDENCIES.</t>
  </si>
  <si>
    <t>Aktiviteter i anslutning till ämnesområdet DEPENDENCIES baserar sig på dokumenterade policyer eller andra bestämmelser inom organisationen.</t>
  </si>
  <si>
    <t>För funktionerna inom ämnesområdet DEPENDENCIES finns fastställda prestationsmål och uppnåendet av målen följs upp (PROGRAM-1b)</t>
  </si>
  <si>
    <t>Dokumenterad praxis för ämnesområdet DEPENDENCIES har standardiserats och utvecklas i hela organisationen</t>
  </si>
  <si>
    <t>Observera</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</si>
  <si>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</si>
  <si>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</si>
  <si>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</si>
  <si>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Identifiera</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</si>
  <si>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</si>
  <si>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</si>
  <si>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</si>
  <si>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</si>
  <si>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Skydda</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</si>
  <si>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</si>
  <si>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</si>
  <si>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</si>
  <si>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</si>
  <si>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Återställ</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</si>
  <si>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</si>
  <si>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</si>
  <si>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</si>
  <si>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</si>
  <si>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Åtgärda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</si>
  <si>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</si>
  <si>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</si>
  <si>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</si>
  <si>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</si>
  <si>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Cybersäkerhetsstrategi</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</si>
  <si>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</si>
  <si>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Organisationen har en cybersäkerhetsstrategi som utvecklas och/eller hanteras, åtminstone i enskilda fall</t>
  </si>
  <si>
    <t>Cybersäkerhetsstrategin fastställer cybersäkerhetsmål för organisationen.</t>
  </si>
  <si>
    <t>Cybersäkerhetsstrategin och dess prioriteringar har dokumenterats. Cybersäkerhetsstrategin stöder organisationens allmänna strategiska mål och ligger i linje med riskerna mot den kritiska infrastrukturen.</t>
  </si>
  <si>
    <t>Cybersäkerhetsstrategin fastställer hur organisationen styr den allmänna hanteringsmodellen och aktiviteterna i fråga om cybersäkerhet.</t>
  </si>
  <si>
    <t>De standarder och/eller anvisningar som ska följas som en del av cybersäkerhetsstrategin har identifierats i strategin</t>
  </si>
  <si>
    <t>Alla relevanta krav på överensstämmelse som ska uppfyllas har identifierats i cybersäkerhetsstrategin</t>
  </si>
  <si>
    <t>Cybersäkerhetsstrategin uppdateras för att den ska motsvara förändringar som sker i affärsverksamheten, omvärlden eller hotbilden (THREAT-1d)</t>
  </si>
  <si>
    <t>Högsta ledningen ger stöd i anslutning till utveckling, uppdatering och genomförande av cybersäkerhetspolicyerna</t>
  </si>
  <si>
    <t>Organisationen samarbetar med externa aktörer för att stöda utveckling och implementering av cybersäkerhetsstandarder, anvisningar, ledande praxis, inlärda erfarenheter och tekniker</t>
  </si>
  <si>
    <t>Beakta cybersäkerheten i verksamhetskontinuiteten</t>
  </si>
  <si>
    <t>Säkerhetskopior av IT-, OT- och informationstillgångar finns tillgängliga och har testats åtminstone i enskilda fall</t>
  </si>
  <si>
    <t>Skyddade objekt som är viktiga för verksamhetens kontinuitet har identifierats och dokumenterats i kontinuitetsplanerna</t>
  </si>
  <si>
    <t>Kontinuitetsplanerna tar ställning till IT-, OT- och datalager som är viktiga för verksamhetens kontinuitet, inklusive tillgången på säkerhetskopior samt ersättande och extra skyddade IT- och OT-tillgångar</t>
  </si>
  <si>
    <t>Kontinuitetsplanerna testas genom utvärderingar och övningar (t.ex. genomgång, simuleringsövning, beroendeövning, test av återställande av säkerhetskopior) enligt intervall som organisationen har fastställt.</t>
  </si>
  <si>
    <t>En återställningstid (RTO, Recovery Time Objective) och en målsättning för återställande av data (Recovery Point Objective, RPO) har fastställts för skyddade objekt som är viktiga för verksamhetens kontinuitet, och ingår i kontinuitetsplanerna</t>
  </si>
  <si>
    <t>Kontinuitetsplanerna testas genom utvärderingar och övningar enligt intervall som organisationen har fastställt och de innefattar aktuella cyberhotscenarier</t>
  </si>
  <si>
    <t>Kontinuitetsplanerna ligger i linje med risktaxonomin (RISK-2e) och hotbilden (THREAT-1d), så att de identifierade riskklassernas och hotens omfattning kan säkerställas</t>
  </si>
  <si>
    <t>Resultaten av testerna och aktiveringarna av kontinuitetsplanerna jämförs med återställningsmålen, och planerna förbättras ändamålsenligt</t>
  </si>
  <si>
    <t>Kontinuitetsplanerna granskas och uppdateras regelbundet</t>
  </si>
  <si>
    <t>Dokumenterad praxis, som följs och uppdateras, har fastställts för ämnesområdet PROGRAM</t>
  </si>
  <si>
    <t>Den personal som utför aktiviteter i anslutning till ämnesområdet PROGRAM har de kunskaper och färdigheter som behövs för dessa uppgifter</t>
  </si>
  <si>
    <t>Personalen har tilldelats ansvar och befogenheter att utföra uppgifter i anslutning till ämnesområdet PROGRAM.</t>
  </si>
  <si>
    <t>Aktiviteter i anslutning till ämnesområdet PROGRAM baserar sig på dokumenterade policyer eller andra bestämmelser inom organisationen.</t>
  </si>
  <si>
    <t>För funktionerna inom ämnesområdet PROGRAM finns fastställda prestationsmål och uppnåendet av målen följs upp (PROGRAM-1b)</t>
  </si>
  <si>
    <t>Dokumenterad praxis för ämnesområdet PROGRAM har standardiserats och utvecklas i hela organisationen</t>
  </si>
  <si>
    <t>Redovisningen av cybersäkerhetsincidenter ligger i linje med organisationens riskkriterier (RISK-2b)</t>
  </si>
  <si>
    <t>Team som deltar i behandlingen av händelser och incidenter i cybersäkerheten deltar i gemensamma övningar med andra organisationer (t.ex. skrivbordsövningar, simulationer)</t>
  </si>
  <si>
    <t>Dokumenterad praxis, som följs och uppdateras, har fastställts för ämnesområdet RESPONSE</t>
  </si>
  <si>
    <t>Tillräckliga resurser (personal, finansiering, verktyg) finns att tillgå för att stöda funktioner i anslutning till ämnesområdet RESPONSE</t>
  </si>
  <si>
    <t>Den personal som utför aktiviteter i anslutning till ämnesområdet RESPONSE har de kunskaper och färdigheter som behövs för dessa uppgifter</t>
  </si>
  <si>
    <t>Personalen har tilldelats ansvar och befogenheter att utföra uppgifter i anslutning till ämnesområdet RESPONSE.</t>
  </si>
  <si>
    <t>Aktiviteter i anslutning till ämnesområdet RESPONSE baserar sig på dokumenterade policyer eller andra bestämmelser inom organisationen.</t>
  </si>
  <si>
    <t>För funktionerna inom ämnesområdet RESPONSE finns fastställda prestationsmål och uppnåendet av målen följs upp (PROGRAM-1b)</t>
  </si>
  <si>
    <t>Dokumenterad praxis för ämnesområdet RESPONSE har standardiserats och utvecklas i hela organisationen</t>
  </si>
  <si>
    <t>Riskhantering</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</si>
  <si>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</si>
  <si>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Hantera cybersäkerhetsrisker</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</si>
  <si>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</si>
  <si>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Cybersäkerhetsriskerna identifieras och dokumenteras, åtminstone i enskilda fall</t>
  </si>
  <si>
    <t xml:space="preserve">Cybersäkerhetsrisker hanteras och riskhanteringsåtgärder vidtas åtminstone i enskilda fall. Som metoder används att acceptera, undvika, minska eller överföra risken. </t>
  </si>
  <si>
    <t>Riskbedömningar görs för att cybersäkerhetsrisker ska kunna identifieras i enlighet med de tidpunkter som fastställts i organisationen (t.ex. förfluten tid, ändringar i infrastrukturen, ändringar i hotbilden)</t>
  </si>
  <si>
    <t>Cybersäkerhetsriskerna dokumenteras i riskregistret (en strukturerad förteckning över identifierade risker)</t>
  </si>
  <si>
    <t>Cybersäkerhetsriskerna analyseras för val och prioritering av hanteringsåtgärder i enlighet med de riskkriterier som fastställts i organisationen (RISK-2b).</t>
  </si>
  <si>
    <t>Riskerna följs upp för att garantera att hanteringsåtgärderna genomförs och att organisationens mål uppnås (PROGRAM-1b).</t>
  </si>
  <si>
    <t>Riskbedömningen omfattar alla sådana tillgångar (assets) och aktiviteter som är kritiska för uppnåendet av organisationens mål.</t>
  </si>
  <si>
    <t>Riskhanteringsorganisationen fastställer riskhanteringsmetoder och riskhanteringsrutiner som uppfyller kraven i strategin/policyn för riskhantering.</t>
  </si>
  <si>
    <t>Den gällande cybersäkerhetsarkitekturen tas i beaktande när en riskanalys görs (ARCHITECTURE-1c)</t>
  </si>
  <si>
    <t>Riskregistret omfattar alla risker som identifierats genom riskbedömningar, och utnyttjas som stöd för riskhanteringsåtgärderna</t>
  </si>
  <si>
    <t>Fastställande av en strategi för hantering av cybersäkerhetsrisker</t>
  </si>
  <si>
    <t xml:space="preserve">En strategi för hantering av cybersäkerhetsrisker är en högnivåstrategi som drar upp riktlinjer för analys och prioritering av cybersäkerhetsrisker och som definierar risktoleransen. Strategin för cybersäkerhetsrelaterad riskhantering innehåller en riskbedömningsmodell, en riskkontrollstrategi och ett system för hantering av cybersäkerhet. Den innehåller en riskklassificering på organisationsnivå (t.ex. effektgränser, riskhanteringsmetoder). Riskklassificeringen styr systemet för hantering av cybersäkerhet, vilket behandlas i avsnittet "System för hantering av cybersäkerhet". Strategin för hantering av cybersäkerhet bör stämma överens med organisationens riskhanteringsstrategi. På så sätt är det möjligt att säkra att cyberriskerna mot organisationen hanteras på ett sätt som ligger i linje med organisationens mission och affärsmål. </t>
  </si>
  <si>
    <t>En dokumenterad strategi/policy för hantering av cyberriskrisker finns att tillgå.</t>
  </si>
  <si>
    <t>Organisationen har fastställt och publicerat kriterier för cyberriskbedömning. Kriterierna används vid bedömning, klassificering och prioritering av operativa risker. Bedömningskriterierna tar hänsyn till riskernas omfattning, risktoleransen och tillgängliga riskhanteringsåtgärder.</t>
  </si>
  <si>
    <t>Strategin/policyn för hantering av cybersäkerhetsrisker definierar de tillgängliga alternativen för att avvärja risker</t>
  </si>
  <si>
    <t>Strategin/policyn för hantering av cybersäkerhetsrisker uppdateras med jämna mellanrum så att den tar hänsyn till förändringarna i hotmiljön.</t>
  </si>
  <si>
    <t>Organisationsspecifik risktaxonomi (en samling allmänt identifierade risker som riktas mot organisationen och som organisationen ska hantera) har dokumenterats och används i anslutning till riskhanteringsåtgärder</t>
  </si>
  <si>
    <t>Dokumenterad praxis, som följs och uppdateras, har fastställts för ämnesområdet RISK</t>
  </si>
  <si>
    <t>Tillräckliga resurser (personal, finansiering, verktyg) finns att tillgå för att stöda funktioner i anslutning till ämnesområdet RISK</t>
  </si>
  <si>
    <t>Den personal som utför aktiviteter i anslutning till ämnesområdet RISK har de kunskaper och färdigheter som behövs för dessa uppgifter</t>
  </si>
  <si>
    <t>Personalen har tilldelats ansvar och befogenheter att utföra uppgifter i anslutning till ämnesområdet RISK.</t>
  </si>
  <si>
    <t>Aktiviteter i anslutning till ämnesområdet RISK baserar sig på dokumenterade policyer eller andra bestämmelser inom organisationen.</t>
  </si>
  <si>
    <t>För funktionerna inom ämnesområdet RISK finns fastställda prestationsmål och uppnåendet av målen följs upp (PROGRAM-1b)</t>
  </si>
  <si>
    <t>Dokumenterad praxis för ämnesområdet RISK har standardiserats och utvecklas i hela organisationen</t>
  </si>
  <si>
    <t>Lägesbild</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</si>
  <si>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</si>
  <si>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Genomför loggning</t>
  </si>
  <si>
    <t xml:space="preserve">Loggning bör vara införd utifrån skyddade objekts verkningar på verksamheten. Ju större potentiell inverkan exempelvis ett riskutsatt skyddat objekt har, desto mer information ska organisationen samla in om objektet. </t>
  </si>
  <si>
    <t>Loggdata samlas in om skyddade objekt som är viktiga för verksamheten, åtminstone i enskilda fall</t>
  </si>
  <si>
    <t>Loggkrav har fastställts för alla skyddade objekt som är viktiga för verksamheten</t>
  </si>
  <si>
    <t>Loggdata samlas in centralt.</t>
  </si>
  <si>
    <t>Loggkrav har fastställts riskbaserat (t.ex. en noggrannare loggning för riskutsatta skyddade objekt).</t>
  </si>
  <si>
    <t>Övervakning</t>
  </si>
  <si>
    <t>Med hjälp av uppföljning och analys av information som har samlats in via loggdata och andra källor kan organisationen förstå vilken operativ status och cybersäkerhetsstatus verksamheten har.</t>
  </si>
  <si>
    <t xml:space="preserve">Cybersäkerheten övervakas (t.ex. regelbundna granskningar av loggdata) åtminstone i enskilda fall </t>
  </si>
  <si>
    <t>Övervakningskrav och analyskrav har fastställts så att de förutsätter att information behandlas i rätt tid.</t>
  </si>
  <si>
    <t>Övervakningsåtgärderna beaktar organisationens hotbild (THREAT-1d).</t>
  </si>
  <si>
    <t>Övervakningsåtgärderna beaktar riskerna för verksamheten (med andra ord mer riskutsatta skyddade objekt kräver en noggrannare övervakning)</t>
  </si>
  <si>
    <t>Automatisk övervakning sker i hela miljön för att upptäcka verksamhet som avviker från det normala</t>
  </si>
  <si>
    <t>Ett riskregister (RISK-1d) används vid val av indikatorer på verksamhet som avviker från det normala</t>
  </si>
  <si>
    <t>Indikatorerna på verksamhet som avviker från det normala bedöms och uppdateras enligt intervall som organisationen har fastställt</t>
  </si>
  <si>
    <t>Skapa och uppdatera lägesbilden</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</si>
  <si>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</si>
  <si>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Metoder för information om nuläget i cybersäkerheten har fastställts och underhålls.</t>
  </si>
  <si>
    <t>Övervakningsdata samlas in för att förstå verksamhetens operativa status</t>
  </si>
  <si>
    <t>För lägesbilden insamlas relevanta data inom hela organisationen.</t>
  </si>
  <si>
    <t>Krav på rapportering av lägesbilden har fastställts och i kraven tar organisationen ställning till spridning av rättidig information om cybersäkerhet till de övriga parter som organisationen har fastställt (t.ex. staten, relaterade organisationer, leverantörer, organisationer inom sektorn, kontrollörer, interna entiteter)</t>
  </si>
  <si>
    <t>Övervakningsdata samlas in för att få en förståelse av cybersäkerhetens status i realtid</t>
  </si>
  <si>
    <t>Extern information som är relevant för organisationen samlas in och görs tillgänglig i organisationen för att fördjupa lägesbilden (THREAT-1g, THREAT-2i)</t>
  </si>
  <si>
    <t>För analys av mottagen information om cybersäkerhet och för avlägsnande av överlappningar finns det processer som stöder utformningen av en lägesbild</t>
  </si>
  <si>
    <t>I förväg fastställda processer har dokumenterats och aktiveras (via en manuell eller automatisk process) utifrån analyserad och sammanslagen information (THREAT-1k, RESPONSE-3k)</t>
  </si>
  <si>
    <t>Dokumenterad praxis, som följs och uppdateras, har fastställts för ämnesområdet SITUATION</t>
  </si>
  <si>
    <t>Tillräckliga resurser (personal, finansiering, verktyg) finns att tillgå för att stöda funktioner i anslutning till ämnesområdet SITUATION</t>
  </si>
  <si>
    <t>Den personal som utför aktiviteter i anslutning till ämnesområdet SITUATION har de kunskaper och färdigheter som behövs för dessa uppgifter</t>
  </si>
  <si>
    <t>Personalen har tilldelats ansvar och befogenheter att utföra uppgifter i anslutning till ämnesområdet SITUATION.</t>
  </si>
  <si>
    <t>Aktiviteter i anslutning till ämnesområdet SITUATION baserar sig på dokumenterade policyer eller andra bestämmelser inom organisationen.</t>
  </si>
  <si>
    <t>För funktionerna inom ämnesområdet SITUATION finns fastställda prestationsmål och uppnåendet av målen följs upp (PROGRAM-1b)</t>
  </si>
  <si>
    <t>Dokumenterad praxis för ämnesområdet SITUATION har standardiserats och utvecklas i hela organisationen</t>
  </si>
  <si>
    <t>Hantera hot och sårbarheter</t>
  </si>
  <si>
    <t>Inför och uppdatera planer, processer och tekniker för att upptäcka, identifiera, analysera, hantera och åtgärda cybersäkerhetshot och sårbarheter med hänsyn till riskerna mot organisationens infrastruktur (t.ex. kritisk infrastruktur, IT-infrastruktur, operativ infrastruktur) och mål.</t>
  </si>
  <si>
    <t>Identifiera och hantera hot</t>
  </si>
  <si>
    <t>Identifiering och hantering av hot inleds genom insamling av användbar information om hot ur tillförlitliga källor, genom tolkning av insamlad information i organisationens kontext och genom åtgärdande av hot som har kapacitet, motivation och möjlighet att påverka tillhandahållandet av tjänster. En hotbild kan användas för en mer precis identifiering av hot, i en riskanalysprocess (RISK) och/eller för att skapa en lägesbild, såsom det beskrivs i ämnesområdet SITUATION.</t>
  </si>
  <si>
    <t>Interna och externa källor till information som samlas in för hantering av hot har identifierats (t.ex. Cybersäkerhetscentret, andra organisationer inom samma sektor, leverantörer), åtminstone i enskilda fall</t>
  </si>
  <si>
    <t>Information om hot samlas in och tolkas ur organisationens perspektiv åtminstone i enskilda fall</t>
  </si>
  <si>
    <t>Nödvändiga åtgärder vidtas med tanke på hot som är relevanta för verksamheten (t.ex. implementering av kontroller, övervakning av hotnivån), åtminstone i enskilda fall</t>
  </si>
  <si>
    <t>En hotbild har tagits fram för organisationen och den innehåller exempelvis hotets sannolikhet, motivation, ändamålsenlighet, kapacitet och objekt</t>
  </si>
  <si>
    <t>Informationskällor som motsvarar alla komponenter i hotbilden prioriteras och övervakas</t>
  </si>
  <si>
    <t>Identifierade hot analyseras, prioriteras och avvärjs med nödvändiga åtgärder</t>
  </si>
  <si>
    <t>Information om hot lämnas till valda personer och/eller organisationer</t>
  </si>
  <si>
    <t>Hotbilden uppdateras enligt intervall som organisationen har fastställt.</t>
  </si>
  <si>
    <t>Hot som medför en risk för verksamheten beaktas i riskhanteringsprocessen så att de kan åtgärdas (RISK-1e)</t>
  </si>
  <si>
    <t>Vid övervakningen av hot och motåtgärder utnyttjas befintliga verksamhetsmodeller (SITUATION-3h)</t>
  </si>
  <si>
    <t>Aktörer som är relevanta för delningen av information om hot har identifierats och engagerats utifrån aktörernas betydelse för verksamhetens kontinuitet (t.ex. staten, relaterade organisationer, leverantörer, aktörer inom sektorn, kontrollörer, ISAC, interna entiteter)</t>
  </si>
  <si>
    <t>Säkra, automatiserade verktyg används för publicering, behandling och analys av information om hot samt för avvärjande av hot</t>
  </si>
  <si>
    <t>Hantering av sårbarheter</t>
  </si>
  <si>
    <t xml:space="preserve">Hantering av sårbarheter inleds genom insamling och analys av information om sårbarheter. Sårbarheter kan kartläggas exempelvis med automatiska skannrar och genom penetrationstester i nät, cybersäkerhetsövningar och revisioner. I en analys av sårbarheter ska hänsyn tas till lokala verkningar (sårbarheternas potentiella verkningar på skyddade objekt) och betydelsen av skyddade objekt för tjänster som tillhandahålls. Sårbarheter kan förebyggas genom att vidta skyddsåtgärder, övervaka hotnivån, installera säkerhetsuppdateringar eller på annat sätt. </t>
  </si>
  <si>
    <t>Källor till information som samlas in för hantering av sårbarheter har identifierats (t.ex. CERT-FI, andra organisationer inom samma sektor, leverantörer), åtminstone i enskilda fall</t>
  </si>
  <si>
    <t>Information om sårbarheter samlas in och tolkas ur organisationens perspektiv åtminstone i enskilda fall</t>
  </si>
  <si>
    <t>Kartläggningar av sårbarheter görs (t.ex. genomgång av applikationer och enheter som är i slutskedet av livscykeln, sårbarhetsskannrar, penetrationstester) åtminstone i enskilda fall</t>
  </si>
  <si>
    <t>Sårbarheter som är relevanta för verksamheten behandlas (t.ex. implementering av kontroller, programvarukorrigeringar) åtminstone i enskilda fall</t>
  </si>
  <si>
    <t>Information om sårbarheter samlas in ur källor så att alla skyddade objekt som är viktiga för organisationen övervakas.</t>
  </si>
  <si>
    <t>Kartläggningar av sårbarheter görs enligt intervall som organisationen har fastställt</t>
  </si>
  <si>
    <t>Identifierade sårbarheter analyseras, prioriteras (t.ex. NIST Common Vulnerability Scoring System kan användas på applikationssårbarheter och interna anvisningar på andra typer av sårbarheter) och organisationen åtgärdar dem på ett ändamålsenligt sätt</t>
  </si>
  <si>
    <t>Programvarukorrigeringars operativa verkningar utvärderas innan korrigeringarna installeras.</t>
  </si>
  <si>
    <t>Information om upptäckta sårbarheter delas med de aktörer som organisationen har fastställt</t>
  </si>
  <si>
    <t>Kartläggningar av sårbarheter görs för skyddade objekt som är kritiska för verksamheten enligt intervall som organisationen har fastställt</t>
  </si>
  <si>
    <t>Kartläggningar av sårbarheter görs av en part som är oberoende av den operativa organisationen.</t>
  </si>
  <si>
    <t>De identifierade sårbarheter som medför en risk för verksamheten beaktas i riskhanteringsprocessen så att de kan behandlas (RISK-1e)</t>
  </si>
  <si>
    <t>Kontinuerlig övervakning av riskerna innefattar en bedömning och säkring av vidtagna åtgärder mot sårbarheter (t.ex. programvarukorrigeringar eller andra åtgärder), när det är nödvändigt</t>
  </si>
  <si>
    <t>Dokumenterad praxis, som följs och uppdateras, har fastställts för delområdet THREAT</t>
  </si>
  <si>
    <t>Tillräckliga resurser (personal, finansiering, verktyg) finns att tillgå för att stöda funktioner i anslutning till delområdet THREAT</t>
  </si>
  <si>
    <t>Den personal som utför aktiviteter i anslutning till delområdet THREAT har de kunskaper och färdigheter som behövs för dessa uppgifter</t>
  </si>
  <si>
    <t>Personalen har tilldelats ansvar och befogenheter att utföra uppgifter i anslutning till delområdet THREAT.</t>
  </si>
  <si>
    <t>Aktiviteter i anslutning till delområdet THREAT baserar sig på dokumenterade policyer eller andra bestämmelser inom organisationen.</t>
  </si>
  <si>
    <t>För funktionerna inom delområdet THREAT finns fastställda prestationsmål och uppnåendet av målen följs upp (PROGRAM-1b)</t>
  </si>
  <si>
    <t>Dokumenterad praxis för delområdet THREAT har standardiserats och utvecklas i hela organisationen</t>
  </si>
  <si>
    <t>Personaladministration</t>
  </si>
  <si>
    <t>Inför och uppdatera planer, processer, tekniker och kontroller för att kunna upprätthålla en cybersäkerhetskultur och säkerställa en lämplig och kompetent personal med hänsyn till riskerna mot den kritiska infrastrukturen och organisationens mål.</t>
  </si>
  <si>
    <t>Ansvar för cybersäkerhet</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</si>
  <si>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</si>
  <si>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Ansvarsområdena inom cybersäkerhet har identifierats åtminstone i enskilda fall</t>
  </si>
  <si>
    <t>Ansvarsområdena inom cybersäkerhet har fastställts för utsedda personer åtminstone i enskilda fall</t>
  </si>
  <si>
    <t>Ansvarsområdena inom cybersäkerhet har fastställts för utsedda roller, som även kan innehas av externa tjänsteleverantörer (t.ex. en internettjänsteleverantör, aktörer som erbjuder säkerhet som en tjänst, leverantörer av molntjänster, IT/OT-tjänsteleverantörer).</t>
  </si>
  <si>
    <t>Ansvarsområdena inom cybersäkerhet har dokumenterats (t.ex. i befattningsbeskrivningar och målkriterier)</t>
  </si>
  <si>
    <t>Ansvarsområdena inom cybersäkerhet och kraven på arbetsuppgifter granskas och uppdateras enligt intervall som organisationen har fastställt (t.ex. efter en viss tid, vid personalbyte, ändring av processer)</t>
  </si>
  <si>
    <t>Omfattningen och tillräckligheten av fastställda ansvarsområden inom cybersäkerhet utvärderas och hanteras, även med beaktande av successionsplaneringen</t>
  </si>
  <si>
    <t>Cybersäkerhetspersonalens utveckling</t>
  </si>
  <si>
    <t>Utvecklingen av personal som förstår cybersäkerhet omfattar utbildning och rekrytering i syfte att höja identifierade bristande kompetenser. Rekryteringsrutiner ska till exempel säkra att rekryterare och intervjuare är medvetna om behoven vad gäller cybersäkerhetspersonal. Dessutom bör nya personer (och leverantörer) genomgå en cybersäkerhetsutbildning för att deras utsatthet för social manipulering och andra hot ska kunna minska.</t>
  </si>
  <si>
    <t>Cybersäkerhetsutbildning erbjuds personer som har skyldigheter och ansvar inom cybersäkerhet, åtminstone i enskilda fall</t>
  </si>
  <si>
    <t>Brister i kunskaper, färdigheter och kvalifikationer inom cybersäkerhet utvärderas och identifieras med tanke på nuvarande och kommande behov</t>
  </si>
  <si>
    <t>Åtgärder i anslutning till utbildning, rekrytering och behållande av arbetskraften ligger i linje med identifierade brister på arbetskraft</t>
  </si>
  <si>
    <t>Ett godkänt betyg i cybersäkerhetsutbildning är ett krav innan åtkomst till system, rum och information beviljas (en arbetsintroduktion)</t>
  </si>
  <si>
    <t>Effektiviteten i cybersäkerhetsutbildningen utvärderas enligt intervall som organisationen har fastställt, och lämpliga förbättringsåtgärder vidtas</t>
  </si>
  <si>
    <t>Utbildningsprogram innehåller kontinuerlig utbildning och möjligheter till yrkesmässig utveckling för personer som har betydande ansvar inom cybersäkerhet</t>
  </si>
  <si>
    <t>Använd personaladministrationskontroller</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</si>
  <si>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</si>
  <si>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När nya personer anställs för arbetsuppgifter med åtkomst till kritiska objekt (rum, utrustning, informationssystem, information), kontrolleras deras bakgrunder (t.ex. säkerhetsutredningar, drogtester), åtminstone i enskilda fall.</t>
  </si>
  <si>
    <t>Cybersäkerheten beaktas i processen för upphörande av anställningar, åtminstone i enskilda fall</t>
  </si>
  <si>
    <t>Bakgrunder för personer som har åtkomst till kritiska objekt (rum, utrustning, informationssystem, information) kontrolleras vid tidpunkter som organisationen har fastställt.</t>
  </si>
  <si>
    <t>Cybersäkerheten beaktas i processerna för intern överföring av anställda.</t>
  </si>
  <si>
    <t>En kontroll av bakgrund görs för alla positioner (inklusive personal, leverantörer och konsulter) i den omfattning som risknivån kräver.</t>
  </si>
  <si>
    <t>För personer som inte följer informationssäkerhetskraven och informationssäkerhetsprocesserna har det fastställts en formell process för ansvarsutkrävande som inkluderar disciplinära förfaranden</t>
  </si>
  <si>
    <t>Öka medvetenheten om cybersäkerhet</t>
  </si>
  <si>
    <t>Åtgärder för att öka medvetenheten om cybersäkerhet vidtas åtminstone i enskilda fall</t>
  </si>
  <si>
    <t>Mål för medvetenhet om cybersäkerhet har fastställts och uppdateras (PROGRAM-1b)</t>
  </si>
  <si>
    <t>Organisationens hotbild (THREAT-1d) påverkar innehållet i de åtgärder som syftar till att öka medvetenheten om cybersäkerhet</t>
  </si>
  <si>
    <t>Åtgärderna för medvetenhet om cybersäkerhet ligger i linje med i förväg fastställda situationer i verksamheten (SITUATION-3h).</t>
  </si>
  <si>
    <t>Effektiviteten i åtgärderna för att öka medvetenheten om cybersäkerhet utvärderas vid tidpunkter som organisationen har fastställt, och lämpliga förbättringsåtgärder vidtas.</t>
  </si>
  <si>
    <t>Dokumenterad praxis, som följs och uppdateras, har fastställts för ämnesområdet WORKFORCE</t>
  </si>
  <si>
    <t>Tillräckliga resurser (personal, finansiering, verktyg) finns att tillgå för att stöda funktioner i anslutning till ämnesområdet WORKFORCE</t>
  </si>
  <si>
    <t>Den personal som utför aktiviteter i anslutning till ämnesområdet WORKFORCE har de kunskaper och färdigheter som behövs för dessa uppgifter</t>
  </si>
  <si>
    <t>Personalen har tilldelats ansvar och befogenheter att utföra uppgifter i anslutning till ämnesområdet WORKFORCE.</t>
  </si>
  <si>
    <t>Aktiviteter i anslutning till ämnesområdet WORKFORCE baserar sig på dokumenterade policyer eller andra bestämmelser inom organisationen.</t>
  </si>
  <si>
    <t>För funktionerna inom ämnesområdet WORKFORCE finns fastställda prestationsmål och uppnåendet av målen följs upp (PROGRAM-1b)</t>
  </si>
  <si>
    <t>Dokumenterad praxis för ämnesområdet WORKFORCE har standardiserats och utvecklas i hela organisationen</t>
  </si>
  <si>
    <t>Avvikande inloggningar övervakas som potentiella indikatorer på cybersäkerhetshändelser.</t>
  </si>
  <si>
    <t>Nätsegmentering genomförs på fysisk eller logisk nivå och syftet är att minska angreppsytan. I en optimal situation har varje enhet i ett visst nätsegment ett giltigt existensberättigande i det aktuella segmentet.</t>
  </si>
  <si>
    <t>Minimera cybersäkerhetsincidenters verkningar på kritiska tjänster</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</si>
  <si>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</si>
  <si>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Planen för hantering av cybersäkerhetshändelser och cybersäkerhetsincidenter omfattar alla kritiska system.</t>
  </si>
  <si>
    <t>Planen för hantering av cybersäkerhetshändelser och cybersäkerhetsincidenter omfattar scenarier som endast gäller kända och välförstådda angrepp.</t>
  </si>
  <si>
    <t>Personer som deltar i genomförandet av planen för hantering av cybersäkerhetshändelser och cybersäkerhetsincidenter förstår det bra.</t>
  </si>
  <si>
    <t>Planen är omfattande (omfattar t.ex. alla faser av en avvikelses livscykel, roller, ansvarsområden, rapportering) och innehåller en beskrivning av sannolika verkningar av kända angreppsmetoder och av potentiella angreppsmetoder som ännu inte har förverkligats.</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</si>
  <si>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</si>
  <si>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Cybersäkerhetsstrategin och planerna för verksamhetens kontinuitet bör vara sinsemellan samordnade. Samordningen är viktig för uppdatering av kontinuitetsplaner och återställande av verksamheter i samband med cybersäkerhetshändelser. Hänsyn till potentiella cybersäkerhetsincidenter i kontinuitetsplanerna förutsätter att kända cyberhot och cyberriskklasser beaktas. När kontinuitetsplanerna testas bör cybersäkerhetsincidenter beaktas för att det ska vara möjligt att säkerställa att planerna fungerar vid sådana incidenter.</t>
  </si>
  <si>
    <t>Kontinuitetsplaner utvecklas med tanke på cybersäkerhetshändelser och incidenter för att kontinuiteten i och återställningen av verksamheten ska kunna säkerställas åtminstone i enskilda fall.</t>
  </si>
  <si>
    <t>Analys av verkningar av potentiella cybersäkerhetshändelser beaktas i utvecklingen av kontinuitetsplanerna</t>
  </si>
  <si>
    <t>Fastställda kriterier för cybersäkerhetsincidenter anger när kontinuitetsplanerna ska börja användas, och de enheter som undersöker cybersäkerhetsincidenter och åtgärdar dem (Incident Reponse) och de enheter som ansvarar för kontinuitetshanteringen har informerats om kriterierna</t>
  </si>
  <si>
    <t>Innehållet i kontinuitetsplanerna granskas och uppdateras regelbundet vad gäller cybersäkerhetsincidenter</t>
  </si>
  <si>
    <t>Hantera händelser och incidenter</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</si>
  <si>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</si>
  <si>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Observera cybersäkerhetshändelser</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</si>
  <si>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</si>
  <si>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Upptäckta cybersäkerhetshändelser rapporteras åtminstone i enskilda fall till en utsedd person eller roll, som registrerar händelserna.</t>
  </si>
  <si>
    <t>Bedömningskriterier har fastställts för observation av cybersäkerhetshändelser (t.ex. definition av händelse, var händelser söks).</t>
  </si>
  <si>
    <t>Cybersäkerhetshändelser registreras centralt enligt fastställda kriterier</t>
  </si>
  <si>
    <t>Information om händelser korreleras och analyseras i syfte att identifiera eventuella mönster, trender och andra gemensamma egenskaper.</t>
  </si>
  <si>
    <t>Utifrån informationen i organisationens riskregister (RISK-1d) och hotbild (THREAT-1d) justeras funktionerna för observation av cybersäkerhetshändelser i syfte att observera kända hot och följa upp identifierade risker.</t>
  </si>
  <si>
    <t>Observationen av cybersäkerhetshändelser stöds genom att följa upp lägesbilden (SITUATION-2i).</t>
  </si>
  <si>
    <t>Analysera cybersäkerhetshändelser och deklarera incidenter</t>
  </si>
  <si>
    <t>Eskalering av cybersäkerhetshändelser omfattar att tillämpa de bedömningskriterier som avses i punkten Observation av cybersäkerhetshändelser och att identifiera situationer där en cybersäkerhetshändelse ska behandlas enligt i förväg fastställda planer. Eskalerade cybersäkerhetshändelser och cybersäkerhetsincidenter kan medföra externa krav, såsom skyldighet till myndighetsrapportering eller kundinformation. Om flera cybersäkerhetshändelser och cybersäkerhetsincidenter korreleras sinsemellan kan det avslöja systematiska problem i miljön.</t>
  </si>
  <si>
    <t>Det finns kriterier för att redovisa cybersäkerhetshändelser som incidenter åtminstone i enskilda fall.</t>
  </si>
  <si>
    <t>Cybersäkerhetshändelser analyseras för att eskalering eller höjning av händelse till incident ska kunna göras, åtminstone i enskilda fall</t>
  </si>
  <si>
    <t>Det finns en formell process för att redovisa cybersäkerhetshändelser som incidenter. Processen baserar sig på avvikelsens inverkan på verksamheten (RISK-1c).</t>
  </si>
  <si>
    <t>Kriterierna för att redovisa cybersäkerhetshändelser som incidenter uppdateras enligt intervall som organisationen har fastställt</t>
  </si>
  <si>
    <t>Händelser eskaleras utifrån fastställda kriterier</t>
  </si>
  <si>
    <t>Eskalerade cybersäkerhetshändelser och -incidenter förs in i ett register och följs upp tills de kan markeras som avslutade.</t>
  </si>
  <si>
    <t>Parterna i cybersäkerhetsverksamheten (t.ex. staten, relaterade organisationer, leverantörer, organisationer inom sektorn, kontrollörer, interna faktorer) har identifierats och meddelas om händelser och incidenter i cybersäkerheten i enlighet med de kriterier som fastställts i organisationen (SITUATION-3d)</t>
  </si>
  <si>
    <t>Cybersäkerhetsincidenter korreleras i syfte att hitta mönster, trender och andra gemensamma egenskaper.</t>
  </si>
  <si>
    <t>Behandla händelser och incidenter i cybersäkerheten</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</si>
  <si>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</si>
  <si>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Roller och personer har utsetts för uppdraget att åtgärda händelser och incidenter i cybersäkerheten, åtminstone i enskilda fall</t>
  </si>
  <si>
    <t>Om möjligt, ska verkningarna av händelser och incidenter i cybersäkerheten begränsas och verksamheten normaliseras, åtminstone i enskilda fall</t>
  </si>
  <si>
    <t>Eskalerade händelser och incidenter i cybersäkerheten rapporteras till olika parter i cybersäkerhetsverksamheten, åtminstone i enskilda fall</t>
  </si>
  <si>
    <t>Åtgärder till följd av händelser och incidenter i cybersäkerheten genomförs enligt fastställda rutiner som beaktar alla faser i en incidents livscykel (t.ex. triage, behandling, kommunikation, samordning, avslutande).</t>
  </si>
  <si>
    <t>Händelser och incidenter i cybersäkerheten avvärjs enligt i förväg fastställda planer och processer</t>
  </si>
  <si>
    <t>Avvärjning av händelser och incidenter i cybersäkerheten övas enligt intervall som organisationen har fastställt</t>
  </si>
  <si>
    <t>Orsakerna till händelser och incidenter i cybersäkerheten analyseras, en lessons-learned-analys görs och korrigerande åtgärder genomförs</t>
  </si>
  <si>
    <t>Behandlingen av händelser och incidenter i cybersäkerheten, inbegripet insamlingen och lagringen av bevis, samordnas vid behov i samarbete med polisen eller andra myndigheter</t>
  </si>
  <si>
    <t>Vid behandlingen av händelser och incidenter i cybersäkerheten följs i förväg fastställda rutiner (SITUATION-3h)</t>
  </si>
  <si>
    <t>Produktionsmiljöer övervakas i syfte att hitta betydelsefulla cybersäkerhetshändelser, åtminstone i enskilda fall</t>
  </si>
  <si>
    <t>Indikatorer har ställts in i systemen för att upptäcka verksamhet som avviker från det normala, och indikatorerna uppdateras och övervakas i hela produktionsmiljön. Indikatorerna baserar sig på systemens loggdata, dataflöden, cybersäkerhetshändelser och systemets arkitektur.</t>
  </si>
  <si>
    <t>Larmgränser har ställts in i systemen och ses över för att de ska hjälpa till att identifiera cybersäkerhetshändelser (RESPONSE-1b)</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</si>
  <si>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</si>
  <si>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Svar</t>
  </si>
  <si>
    <t>Kommentti ja viittaukset</t>
  </si>
  <si>
    <t>Comments and references</t>
  </si>
  <si>
    <t>Noter och referenser</t>
  </si>
  <si>
    <t>Nivå</t>
  </si>
  <si>
    <t>Praktik</t>
  </si>
  <si>
    <t>Säkerhetsklassificering</t>
  </si>
  <si>
    <t>Total nivå</t>
  </si>
  <si>
    <t>Namn</t>
  </si>
  <si>
    <t>Bedömning av cybersäkerhet</t>
  </si>
  <si>
    <t>Resultat och referensdata</t>
  </si>
  <si>
    <t>0 - Inget svar</t>
  </si>
  <si>
    <t>The organisation should identify its role in providing critical services to the society and manage the related risks accordingly.</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</si>
  <si>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</si>
  <si>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ja hallita riskejä sen mukaisesti.</t>
  </si>
  <si>
    <t>Organisaation tulee tunnistaa oma roolinsa yhteiskunnan kannalta kriittisten palveluiden tuottamisessa, tietää mitä näiden palveluiden tuottaminen vaatii ja ymmärtää millaiset vaikutukset palveluiden vikaantumisella saattaisi olla.</t>
  </si>
  <si>
    <t>Organisaation ylimmällä johdolla on näkyvyys tärkeimpiin riskipäätöksiin läpi koko organisaation.</t>
  </si>
  <si>
    <t>(Yhteiskunnalle kriittisten) palveluiden tuottamiseen tarvittava data on tunnistettu ja dokumentoitu.</t>
  </si>
  <si>
    <t>Palveluiden tuottamiseen tarvittavat prosessit on tunnistettu ja dokumentoitu.</t>
  </si>
  <si>
    <t>Palveluiden tuottamiseen tarvittavat järjestelmät (IT- ja OT-omaisuus) on tunnistettu ja dokumentoitu.</t>
  </si>
  <si>
    <t>Palveluiden tuottamiseen tarvittavat toimitusketjut on tunnistettu ja dokumentoitu.</t>
  </si>
  <si>
    <t>Palveluiden tuottamiseen tarvittavat tilat ja laitteet on tunnistettu ja dokumentoitu.</t>
  </si>
  <si>
    <t>Palvelujen heikentymisen tai keskeytymisen aiheuttamat seurannaisvaikutukset yhteiskunnalle on tunnistettu ja dokumentoitu.</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</si>
  <si>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</si>
  <si>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Kaikki resurssit (data, prosessit, järjestelmät, tilat ja toimitusketjut), joita tarvitaan (yhteiskunnalle kriittisten) palveluiden tuottamiseen, ovat organisaation turvallisuuden hallinnan politiikkojen ja prosessien piirissä.</t>
  </si>
  <si>
    <t>Kaikki resurssit (data, prosessit, järjestelmät, tilat ja toimitusketjut), joita tarvitaan yhteiskunnallisesti kriittisten palvelujen tuottamiseen, ovat organisaation riskienhallinnan politiikkojen ja prosessien piirissä.</t>
  </si>
  <si>
    <t>Johtoryhmän nimetyllä jäsenellä on vastuu palveluiden tuottamiseen tarvittavien tietoverkkojen ja -järjestelmien turvallisuuden tasosta. Henkilö ohjaa johtoryhmän säännöllistä keskustelua aiheesta.</t>
  </si>
  <si>
    <t>Johtoryhmä asettaa suunnan ja tahtotilan, joista johdetaan tehokkaita toimintatapoja tietoverkkojen ja -järjestelmien turvallisuuden valvontaan ja ohjaukseen.</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</si>
  <si>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</si>
  <si>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</si>
  <si>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Riskienhallintaprosessissa ja -päätöksenteossa otetaan huomioon resurssit (data, prosessit, järjestelmät, laitteet ja toimitusketju), kriittinen ajanjakso ja seurannaisvaikutukset [kts. CRITICAL-1b-h].</t>
  </si>
  <si>
    <t>Kriittisten palveluiden kyberhäiriöiden vaikutusten minimointi</t>
  </si>
  <si>
    <t>Organisaatiolla on kybertapahtumien ja -häiriöiden hallintasuunnitelma, joka kattaa kaikki (organisaation tuottamat yhteiskunnalle kriittiset) palvelut.</t>
  </si>
  <si>
    <t>Kybertapahtumien ja -häiriöiden hallintaan osallistuva henkilöstö on sisäistänyt ja ymmärtää hallintasuunnitelman hyvin.</t>
  </si>
  <si>
    <t>Hallintasuunnitelma rajoittuu tunnettuihin hyökkäyksiin, mutta kattaa perusteellisesti näiden hyökkäysten todennäköiset vaikutukset.</t>
  </si>
  <si>
    <t>Hallintasuunnitelma on dokumentoitu ja se jaetaan kaikille relevanteille sidosryhmille.</t>
  </si>
  <si>
    <t>Hallintasuunnitelma perustuu (yhteiskunnalle kriittisten palveluiden tuottamiseen tarvittavien) tietoverkkojen ja -järjestelmien riskien perusteelliseen tunnistamiseen ja ymmärtämiseen.</t>
  </si>
  <si>
    <t>Hallintasuunnitelma on dokumentoitu ja integroitu osaksi organisaation laajempaa liiketoiminnan ja toimitusketjujen jatkuvuudenhallintaa.</t>
  </si>
  <si>
    <t>Kaikki yhteiskunnalle kriittisten palveluiden tuottamiseen osallistuvat organisaation liiketoimintayksiköt ovat saaneet ja sisäistäneet hallintasuunnitelman.</t>
  </si>
  <si>
    <t>Organisaation ylimmällä johdolla on vastuu riittävien resurssien turvaamisesta kriittisten palveluiden tuottamiseen ja päätöksentekovaltuuksien delegoinnista organisaatiossa siten, että päätöksenteko on tehokasta ja se tehdään oikeassa paikkaa. Kriittisten palveluiden toimittamiseen liittyvien tietoverkkojen ja -järjestelmien riskit tulee arvioida osana koko organisaation riskejä.</t>
  </si>
  <si>
    <t>Johtoryhmä käsittelee palveluiden tuottamiseen tarvittavien tietoverkkojen ja -järjestelmien turvallisuuden tasoa säännöllisesti; käyttäen pohjana ajantasaista ja tarkkaa tietoa sekä organisaation ammattilaisten asiantuntemusta.</t>
  </si>
  <si>
    <t>Riskienhallinnan päätöksentekoa voidaan tarvittaessa delegoida tai korottaa ("escalate") läpi koko organisaation sellaisille henkilöille, joilla on sopivat tiedot, taidot ja valtuudet päätösten tekemiseen.</t>
  </si>
  <si>
    <t>Riskit analysoidaan ja arvioidaan, jotta voidaan valita ja priorisoida sopivat riskienhallintatoimenpiteet [kts. RISK-2b].</t>
  </si>
  <si>
    <t>Organisaatio seuraa riskien kehittymistä, jotta se voi varmistua valittujen riskienhallintatoimenpiteiden toteuttamisesta ja asettamiensa tavoitteiden saavuttamisesta [kts. PROGRAM-1b].</t>
  </si>
  <si>
    <t>Organisaatio toteuttaa riskiarviointeja tai -kartoituksia, jotka kattavat kaikki toiminnan osa-alueen toimintavarmuuden kannalta tärkeät suojattavat kohteet.</t>
  </si>
  <si>
    <t>Organisaation riskienhallintaohjelman osana on luoda ja ylläpitää johtotason riskienhallintapolitiikka (tai vastaava ohjeistus), jonka kautta toteutuu organisaation laajempi riskienhallintastrategia.</t>
  </si>
  <si>
    <t>Organisaatio käyttää ajan tasalla olevaa kyberarkkitehtuuria [kts. ARCHITECTURE-1c] ohjaamaan kyberriskien analysointia ja arviointia.</t>
  </si>
  <si>
    <t>Riskirekisteri kattaa kaikki riskiarvioiden kautta tunnistetut kyberriskit ja sitä hyödynnetään aktiivisesti riskienhallintatoimenpiteiden tukena.</t>
  </si>
  <si>
    <t>Strategia kyberturvallisuusriskien hallintaan</t>
  </si>
  <si>
    <t>Organisaatiolla on dokumentoitu strategia tai johtotason politiikka kyberriskien hallintaan.</t>
  </si>
  <si>
    <t>Strategiaa tai johtotason politiikkaa päivitetään säännöllisesti, jotta se huomioi muutokset organisaation uhkaympäristössä.</t>
  </si>
  <si>
    <t>Identiteetin- ja pääsynhallinnan (ACCESS) osion toiminnan suorittamiseen liittyvät vastuut ja valtuudet on osoitettu nimetyille työntekijöille.</t>
  </si>
  <si>
    <t>Kyberturvallisuusarkkitehtuurin (ARCHITECTURE) osion toiminnan suorittamiseen liittyvät vastuut ja valtuudet on osoitettu nimetyille työntekijöille.</t>
  </si>
  <si>
    <t>Omaisuuden, muutoksen ja konfiguraation hallinnan (ASSET) osion toiminnan suorittamiseen liittyvät vastuut ja valtuudet on osoitettu nimetyille työntekijöille.</t>
  </si>
  <si>
    <t>Toimitusketjun ja ulkoisten riippuvuuksien hallinnan (DEPENDENCIES) osion toiminnan suorittamiseen liittyvät vastuut ja valtuudet on osoitettu nimetyille työntekijöille.</t>
  </si>
  <si>
    <t>Kyberturvallisuusohjelman (PROGRAM) osion toiminnan suorittamiseen liittyvät vastuut ja valtuudet on osoitettu nimetyille työntekijöille.</t>
  </si>
  <si>
    <t>Kybertapahtumien havainnoinnin (RESPONSE) osion toiminnan suorittamiseen liittyvät vastuut ja valtuudet on osoitettu nimetyille työntekijöille.</t>
  </si>
  <si>
    <t>Riskienhallinnan (RISK) osion toiminnan suorittamiseen liittyvät vastuut ja valtuudet on osoitettu nimetyille työntekijöille.</t>
  </si>
  <si>
    <t>Tilannekuvan (SITUATION) osion toiminnan suorittamiseen liittyvät vastuut ja valtuudet on osoitettu nimetyille työntekijöille.</t>
  </si>
  <si>
    <t>Uhkien ja haavoittuvuuksien hallinnan (THREAT) osion toiminnan suorittamiseen liittyvät vastuut ja valtuudet on osoitettu nimetyille työntekijöille.</t>
  </si>
  <si>
    <t>Henkilöstöhallinnan (WORKFORCE) osion toiminnan suorittamiseen liittyvät vastuut ja valtuudet on osoitettu nimetyille työntekijöille.</t>
  </si>
  <si>
    <t>Identiteetin- ja pääsynhallinnan (ACCESS) osion toiminta perustuu organisaation määrittämään ja ylläpitämään johtotason politiikkaan (tai vastaavaan ohjeistukseen), jossa asetetaan nimenomaisia vaatimuksia tämän osion toiminnalle.</t>
  </si>
  <si>
    <t>Kyberturvallisuusarkkitehtuurin (ARCHITECTURE) osion toiminta perustuu organisaation määrittämään ja ylläpitämään johtotason politiikkaan (tai vastaavaan ohjeistukseen), jossa asetetaan nimenomaisia vaatimuksia tämän osion toiminnalle.</t>
  </si>
  <si>
    <t>Omaisuuden, muutoksen ja konfiguraation hallinnan (ASSET) osion toiminta perustuu organisaation määrittämään ja ylläpitämään johtotason politiikkaan (tai vastaavaan ohjeistukseen), jossa asetetaan nimenomaisia vaatimuksia tämän osion toiminnalle.</t>
  </si>
  <si>
    <t>Toimitusketjun ja ulkoisten riippuvuuksien hallinnan (DEPENDENCIES) osion toiminta perustuu organisaation määrittämään ja ylläpitämään johtotason politiikkaan (tai vastaavaan ohjeistukseen), jossa asetetaan nimenomaisia vaatimuksia tämän osion toiminnalle.</t>
  </si>
  <si>
    <t>Kyberturvallisuusohjelman (PROGRAM) osion toiminta perustuu organisaation määrittämään ja ylläpitämään johtotason politiikkaan (tai vastaavaan ohjeistukseen), jossa asetetaan nimenomaisia vaatimuksia tämän osion toiminnalle.</t>
  </si>
  <si>
    <t>Kybertapahtumien havainnoinnin (RESPONSE) osion toiminta perustuu organisaation määrittämään ja ylläpitämään johtotason politiikkaan (tai vastaavaan ohjeistukseen), jossa asetetaan nimenomaisia vaatimuksia tämän osion toiminnalle.</t>
  </si>
  <si>
    <t>Riskienhallinnan (RISK) osion toiminta perustuu organisaation määrittämään ja ylläpitämään johtotason politiikkaan (tai vastaavaan ohjeistukseen), jossa asetetaan nimenomaisia vaatimuksia tämän osion toiminnalle.</t>
  </si>
  <si>
    <t>Tilannekuvan (SITUATION) osion toiminta perustuu organisaation määrittämään ja ylläpitämään johtotason politiikkaan (tai vastaavaan ohjeistukseen), jossa asetetaan nimenomaisia vaatimuksia tämän osion toiminnalle.</t>
  </si>
  <si>
    <t>Uhkien ja haavoittuvuuksien hallinnan (THREAT) osion toiminta perustuu organisaation määrittämään ja ylläpitämään johtotason politiikkaan (tai vastaavaan ohjeistukseen), jossa asetetaan nimenomaisia vaatimuksia tämän osion toiminnalle.</t>
  </si>
  <si>
    <t>Henkilöstöhallinnan (WORKFORCE) osion toiminta perustuu organisaation määrittämään ja ylläpitämään johtotason politiikkaan (tai vastaavaan ohjeistukseen), jossa asetetaan nimenomaisia vaatimuksia tämän osion toiminnalle.</t>
  </si>
  <si>
    <t>Identiteetin- ja pääsynhallinnan (ACCESS) osioon liittyvät käytännöt on standardoitu läpi koko organisaation ja niitä kehitetään aktiivisesti.</t>
  </si>
  <si>
    <t>Kyberturvallisuusarkkitehtuurin (ARCHITECTURE) osioon liittyvät käytännöt on standardoitu läpi koko organisaation ja niitä kehitetään aktiivisesti.</t>
  </si>
  <si>
    <t>Omaisuuden, muutoksen ja konfiguraation hallinnan (ASSET) osioon liittyvät käytännöt on standardoitu läpi koko organisaation ja niitä kehitetään aktiivisesti.</t>
  </si>
  <si>
    <t>Toimitusketjun ja ulkoisten riippuvuuksien hallinnan (DEPENDENCIES) osioon liittyvät käytännöt on standardoitu läpi koko organisaation ja niitä kehitetään aktiivisesti.</t>
  </si>
  <si>
    <t>Kyberturvallisuusohjelman (PROGRAM) osioon liittyvät käytännöt on standardoitu läpi koko organisaation ja niitä kehitetään aktiivisesti.</t>
  </si>
  <si>
    <t>Kybertapahtumien havainnoinnin (RESPONSE) osioon liittyvät käytännöt on standardoitu läpi koko organisaation ja niitä kehitetään aktiivisesti.</t>
  </si>
  <si>
    <t>Riskienhallinnan (RISK) osioon liittyvät käytännöt on standardoitu läpi koko organisaation ja niitä kehitetään aktiivisesti.</t>
  </si>
  <si>
    <t>Tilannekuvan (SITUATION) osioon liittyvät käytännöt on standardoitu läpi koko organisaation ja niitä kehitetään aktiivisesti.</t>
  </si>
  <si>
    <t>Uhkien ja haavoittuvuuksien hallinnan (THREAT) osioon liittyvät käytännöt on standardoitu läpi koko organisaation ja niitä kehitetään aktiivisesti.</t>
  </si>
  <si>
    <t>Henkilöstöhallinnan (WORKFORCE) osioon liittyvät käytännöt on standardoitu läpi koko organisaation ja niitä kehitetään aktiivisesti.</t>
  </si>
  <si>
    <t>Tunnistetut riskit kirjataan riskirekisteriin (joka on virallinen listaus organisaation tunnistamista riskeistä ja riskeihin liittyvistä tiedoista).</t>
  </si>
  <si>
    <t>Organisaatio hallitsee toimintaansa kohdistuvia kyberriskejä pienentämällä, hyväksymällä, välttämällä tai siirtämällä riskejä (eli toteuttamalla erityisiä riskienhallintatoimenpiteitä) - ainakin tapauskohtaisesti.</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</si>
  <si>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</si>
  <si>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</si>
  <si>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Organisaatio on määrittänyt kyberriskien arviointikriteerit, joita se käyttää riskien arviontiin, luokitteluun ja priorisointiin. Kriteereiden määrittelyssä on huomioitu riskien mahdollinen vaikuttavuus, organisaation riskinottohalukkuus ja käytettävissä olevat riskienhallintatoimenpiteet.</t>
  </si>
  <si>
    <t>Strategia tai johtotason politiikka määrittää organisaation käytettävissä olevat riskienhallintatoimenpiteet.</t>
  </si>
  <si>
    <t>Organisaatiolla on yhtenäinen riskien luokittelumalli ("risk taxonomy"), jota se käyttää kyberriskien hallintaan. Riskien luokittelumalli on yhtenäinen, kattava ja vakioitu joukko riskiluokkia, joita koko organisaatio käyttää erityyppisten riskien luokitteluun ja tunnistamiseen.</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</si>
  <si>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</si>
  <si>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Riippuvuuksien tunnistamiseen kuuluu, että organisaatio tunnistaa ja ymmärtää perusteellisesti (toiminnan osa-alueen toimintavarmuuden kannalta) tärkeimmät ulkoiset suhteet toimittajiin, alihankkijoihin ja muihin kolmansiin osapuoliin.</t>
  </si>
  <si>
    <t>Organisaatio tunnistaa kriittiset riippuvuudet pääasiallisista tai ainoista toimittajista ja muut välttämättömät riippuvuudet.</t>
  </si>
  <si>
    <t>Tunnistetut riippuvuudet on priorisoitu.</t>
  </si>
  <si>
    <t>Organisaatio perustaa riippuvuuksien tunnistamisen ja priorisoinnin määrittämiinsä riskien arviointikriteereihin [kts. RISK-2b].</t>
  </si>
  <si>
    <t>Toimittajien ja muiden kolmansien osapuolten kanssa laadittavissa sopimuksissa huomioidaan kyberuhkatietojen jakaminen.</t>
  </si>
  <si>
    <t>Organisaatiolla on vakiintunut tapa asettaa kyberturvallisuusvaatimuksia toimittajien ja muiden kolmansien osapuolten kanssa laadittaviin sopimuksiin (esim. sopimuspohjat). Mikäli toimittajasuhteeseen kuuluu ohjelmistoja tai ohjelmistokehitystä, kuuluu vaatimuksiin turvallisten ohjelmistokehitysmenetelmien noudattaminen.</t>
  </si>
  <si>
    <t>Toimittajien ja muiden kolmansien osapuolten kanssa laadittavissa sopimuksissa on mukana kyberturvallisuusvaatimukset.</t>
  </si>
  <si>
    <t>Toimittajien ja muiden kolmansien osapuolten kanssa laadittavissa sopimuksissa on mukana vaatimus ilmoittaa tuotteen tai palvelun toimittamiseen liittyvistä kyberhäiriöistä.</t>
  </si>
  <si>
    <t>Organisaatio asettamat kyberturvallisuusvaatimukset toimittajien ja muiden kolmansien osapuolten kanssa laadittaviin sopimuksiin perustuvat organisaation määrittämiin riskien arviointikriteereihin [kts. RISK-2b].</t>
  </si>
  <si>
    <t>Toimittajien ja muiden kolmansien osapuolten arviointi- ja valintaprosessissa sekä muissa hankintapäätöksissä huomioidaan käyttöiän ("end-of-life") ja käyttötuen ("end-of-support") loppumisen ajankohdat.</t>
  </si>
  <si>
    <t>Toimittajien ja muiden kolmansien osapuolten arviointi- ja valintaprosessissa sekä muissa hankintapäätöksissä huomioidaan asetettujen kyberturvallisuusvaatimusten täyttyminen.</t>
  </si>
  <si>
    <t>Toimittajien ja muiden kolmansien osapuolten arviointi- ja valintaprosessissa sekä muissa hankintapäätöksissä huomioidaan tarvittavat turvatoimet väärennettyjen tai turvallisuudeltaan vaarantuneiden ohjelmistojen, laitteiden tai palveluiden osalta.</t>
  </si>
  <si>
    <t>Hankittavien suojattavien kohteiden hyväksyntätestaukseen kuuluu testaus siitä, täyttävätkö kohteet organisaation kyberturvallisuusvaatimukset.</t>
  </si>
  <si>
    <t>Omaisuuden, muutoksen ja konfiguraation hallinnan osiossa arvioidaan organisaation kykyä hallita toiminnan osa-alueen toimintavarmuuden kannalta tärkeää omaisuutta ja tähän omaisuuteen liittyviä muutoksia ja konfiguraatioita. Omaisuudella tarkoitetaan organisaation IT- ja OT-omaisuutta (mkl. laitteet ja ohjelmistot) sekä tietovarantoja. Organisaation tulee hallinnoida tätä omaisuutta suhteessa sekä omaisuuteen kohdistuviin riskeihin, että organisaation asettamiin tavoitteisiin.</t>
  </si>
  <si>
    <t>Rekisteri toiminnan osa-alueen toimintavarmuuden kannalta tärkeästä IT- ja OT-omaisuudesta on tärkeä osa kyberriskienhallintaa. Tärkeiden tietojen (kuten ohjelmistojen versionumerojen, fyysisen sijainnin, kohteen omistajan ja kriittisyyden) rekisteröinti on edellytys monille muille kyberturvallisuuden hallintatoimille. Rekisteriin kirjatut tiedot voivat esimerkiksi kertoa mihin päivitystä tarvitseva ohjelmisto on asennettu tai onko organisaatiolla käytössään haavoittuvuuden kohteeksi joutunutta laitetta tai ohjelmistoa.</t>
  </si>
  <si>
    <t>Omaisuusrekisteriin kirjataan tiedot, joita organisaatio tarvitsee kyberturvallisuuteen liittyvien toimintojen hoitamiseen ja organisaation kyberturvallisuusstrategian tueksi [kts. PROGRAM-1a]. (Tällaisia tietoja ovat esimerkiksi sijaintipaikat, suojattavien kohteiden omistajuudet, turvallisuusvaatimukset, riippuvuudet, palvelutasot, elinkaaren ja tuen saatavuuden tiedot sekä vaatimustenmukaisuus relevantien toimiala-standardien kanssa).</t>
  </si>
  <si>
    <t>Omaisuusrekisteri on ajan tasalla (organisaation määrittämien kriteerin mukaisesti).</t>
  </si>
  <si>
    <t>Omaisuusrekisteriä hyödynnetään kyberriskien tunnistamisessa (esim. elinkaaren ja tuen saatavuuden päättyminen; yksittäiset pisteet, joiden toimintahäiriö voi keskeyttäisi koko palvelun ("single point of failure")).</t>
  </si>
  <si>
    <t>Rekisteri toiminnan osa-alueen toimintavarmuuden kannalta tärkeistä tietovarannoista on tärkeä osa kyberriskienhallintaa. Tärkeiden tietojen (kuten tallennus- ja käsittelypaikkojen, tiedon omistajuuden, salaus- ja eheysvaatimusten, tietovuot, vaatimustenmukaisuuden ja ohjelmistojen versionumerojen) rekisteröinti on edellytys monille muille kyberturvallisuuden hallintatoimille.</t>
  </si>
  <si>
    <t>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t>
  </si>
  <si>
    <t>Tietovarantojen rekisteriin kirjataan tiedot, joita organisaatio tarvitsee kyberturvallisuuteen liittyvien toimintojen hoitamiseen ja organisaation kyberturvallisuusstrategian tueksi [kts. PROGRAM-1a]. (Tällaisia tietoja ovat esimerkiksi tallennus- ja käsittelypaikat, tiedon omistajuudet, salaus- ja eheysvaatimukset, tietovuot sekä vaatimustenmukaisuus).</t>
  </si>
  <si>
    <t>Organisaatiolla on rekisteri toiminnan osa-alueen toimintavarmuuden kannalta tärkeästä IT- ja OT-omaisuudesta - vaikka rekisterin ylläpito ei välttämättä ole systemaattista tai kaikenkattavaa.</t>
  </si>
  <si>
    <t>Organisaatiolla on omaisuusrekisteri kaikesta toiminnan osa-alueen toimintavarmuuden kannalta tärkeästä IT- ja OT-omaisuudesta.</t>
  </si>
  <si>
    <t>Organisaatiolla on omaisuusrekisteri kaikista toiminnan osa-alueen toimintavarmuuden kannalta tärkeistä tietovarannoista.</t>
  </si>
  <si>
    <t>Organisaatio kategorisoi rekisteröidyt tietovarannot määrittämällään tavalla.</t>
  </si>
  <si>
    <t>Konfiguraation hallinta pitää sisällään suojattavien kohteiden (kuten suojattavan tieto-, IT- ja OT-omaisuuden) vakioitujen perusasetusten määrittämisen ja tarkistukset siitä, että konfiguraatiot ovat näiden perusasetusten mukaiset. Yleisimmin tällä varmistetaan se, että kaikki samanlaiset suojattavat kohteet on konfiguroitu samalla tavalla. Niissä tapauksissa, joissa suojattavat kohteet eroavat merkittävästi toisistaan tai yksilöllisiä asetuksia joudutaan käyttämään, konfiguraatioiden hallinnan avulla on tarkoitus varmistaa, että kyseisen suojattavan kohteen konfiguraation perusasetukset on määritetty ja suojattavan kohteen asetukset säilyvät perusasetusten mukaisina.</t>
  </si>
  <si>
    <t>Vakioitujen perusasetuksien suunnittelussa huomioidaan organisaation kyberturvallisuustavoitteet [kts. PROGRAM-1b].</t>
  </si>
  <si>
    <t>Suojattavien kohteiden konfiguraation yhdenmukaisuutta vakioitujen perusasetusten kanssa monitoroidaan kohteen koko käyttöiän ajan.</t>
  </si>
  <si>
    <t>Suojattavien kohteiden (kuten suojattavan tieto-, IT- ja OT-omaisuuden) muutostenhallinta sisältää muutospyyntöjen arvioinnin niin, että hyväksymättömiä muutoksia ei pääse tuotantoympäristöön, prosessin joka varmistaa kaikkien muutosten noudattavan muutoshallintaprosessia sekä luvattomien muutosten tunnistamisen. Muutostenhallinta koskettaa suojattavien kohteiden koko elinkaarta, mukaan lukien määrittely, testaus, käyttöönotto ja huolto sekä käytöstä poistaminen.</t>
  </si>
  <si>
    <t>Rekisteröityihin suojattaviin kohteisiin tehtävät muutokset kirjataan lokiin - ainakin tapauskohtaisesti.</t>
  </si>
  <si>
    <t>Identiteettien hallinta</t>
  </si>
  <si>
    <t>Niille henkilöille ja toimijoille, jotka tarvitsevat pääsyn suojattaviin kohteisiin jaetaan pääsyvaltuustiedot (kuten salasanat, sertifikaatit, älykorit, avaimet, tunnusluvut tai vastaavat) - ainakin tapauskohtaisesti.</t>
  </si>
  <si>
    <t>Identiteettirekisterit katselmoidaan ja päivitetään ajantasaiseksi organisaation määrittelemin aikavälein.</t>
  </si>
  <si>
    <t>Pääsyvaltuustiedot ("credentials") katselmoidaan säännöllisesti ja tarkistetaan, että ne on myönnetty oikeille henkilöille tai muille toimijoille (kuten laitteille, järjestelmille tai prosesseille).</t>
  </si>
  <si>
    <t>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t>
  </si>
  <si>
    <t>Pääsyvaltuustiedoille on asetettu riskiperusteiset vaatimukset (esim. vahvasta tunnistautumisesta korkean riskin kohteisiin) [kts. RISK-2b]. Vaatimuksissa on huomioitu myös kyberarkkitehtuurin asettamat vaatimukset (esim. tunnistautumisvaatimukset eri turvavyöhykkeille) [kts. ARCHITECTURE-2b].</t>
  </si>
  <si>
    <t>Uhkien ja haavoittuvuuksien hallinnan osiossa arvioidaan organisaation kykyä havaita ja hallita mahdollisia kyberuhkia ja haavoittuvuuksia. Organisaation tulee määritellä ja ylläpitää suunnitelmia, prosesseja ja teknologiaa, joiden avulla havaita, tunnistaa, analysoida, hallita ja vastata kyberuhkiin ja haavoittuvuuksiin. Toimien tulee olla suhteessa sekä suojattaviin kohteisiin kohdistuviin riskeihin, että organisaation asettamiin tavoitteisiin.</t>
  </si>
  <si>
    <t>Uhkien tunnistaminen ja hallinta alkaa relevantin uhkatiedon keräämisellä luotettavista lähteistä, tulkitsemalla kerättyä tietoa suhteessa organisaation omaan toimintaympäristöön ja reagoimalla niihin uhkiin, joilla on mahdollisuus vaikuttaa palveluiden toimintavarmuuteen. Organisaation uhkaprofiili sisältää kuvaukset mahdollisista uhkatekijöistä, mkl. uhkatekijöiden kyvykkyyksistä, tavoitteista ja kohteista. Uhkaprofiilia voidaan käyttää uhkien tarkempaan tunnistamiseen, sitä voidaan hyödyntää osana riskien analysointia ja arviointia [kts. RISK] tai kyberturvallisuuden tilannekuvan muodostamiseen [kts. SITUATION].</t>
  </si>
  <si>
    <t>Organisaatio tunnistaa uhkien hallintaa varten sekä sisäisiä että ulkoisia tiedonlähteitä (esim. Kybertuvallisuuskeskus, saman sektorin muut organisaatiot tai toimittajat) - ainakin tapauskohtaisesti.</t>
  </si>
  <si>
    <t>Organisaatio on määrittänyt toiminnan osa-alueelle uhkaprofiilin, jossa kuvataan esimerkiksi uhkatekijät ("threat actors") ja uhkatekijöiden tavoitteet, aikomukset, kyvykkyydet ja kohteet.</t>
  </si>
  <si>
    <t>Organisaatio tunnistaa ja priorisoi sellaiset tietolähteet, jotka kattavat kokonaisuudessaan kaikki uhkaprofiilin osat, ja monitoroi näitä lähteitä aktiivisesti.</t>
  </si>
  <si>
    <t>Kyberuhkatietoa tarjotaan valituille henkilöille ja/tai osastoille.</t>
  </si>
  <si>
    <t>Haavoittuvuuksien rajoittaminen alkaa keräämällä ja analysoimalla haavoittuvuustietoa. Haavoittuvuuksia voidaan kartoittaa esimerkiksi automaattisten skannaustyökalujen avulla, verkkojen tunkeutumistestauksilla, kyberharjoituksilla ja auditoinneilla. Haavoittuvuuksien analysoinnissa tulisi ottaa huomioon sekä paikallinen vaikutus (eli haavoittuvuuden mahdollinen vaikutus suojattavaan kohteeseen itseensä), että suojattavan kohteen merkitys toiminnan osa-alueen toimintavarmuuteen. Haavoittuvuuksia voidaan torjua toteuttamalla suojaavia toimenpiteitä, monitoroimalla uhkatilannetta, asentamalla turvallisuuspäivityksiä tai muilla tavoin.</t>
  </si>
  <si>
    <t>Toiminnan osa-alueen toimintavarmuuden kannalta olennaisille haavoittuvuuksille tehdään tarvittavat toimenpiteet niiden hallitsemiseksi (esim. kontrollien implementointi tai ohjelmistokorjauksien asennus) - ainakin tapauskohtaisesti.</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</si>
  <si>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</si>
  <si>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</si>
  <si>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Organisaation tulee käyttää lokien ja muiden lähteiden kautta kerättyä tietoa saadakseen selkeän yleiskuvan operatiivisen toiminnan ja kyberturvallisuuden tilasta.</t>
  </si>
  <si>
    <t>Tuotantoympäristöjä monitoroidaan poikkeamien ja poikkeavan käytöksen varalta (jotka voivat antaa viitteitä kyberturvallisuuden kannalta merkittävistä tapahtumista) - ainakin tapauskohtaisesti.</t>
  </si>
  <si>
    <t>Poikkeamien ja poikkeavan käytöksen havaitsemiseksi järjestelmiin on asetettu indikaattorit, joita ylläpidetään ja monitoroidaan koko tuotantoympäristön laajuisesti. Indikaattorit perustuvat järjestelmien lokeihin, tietovirtoihin, kybertapahtumiin sekä järjestelmän arkkitehtuuriin.</t>
  </si>
  <si>
    <t>Monitorointijärjestelyt huomioivat organisaation uhkaprofiilin [kts. THREAT-1d].</t>
  </si>
  <si>
    <t>Monitorointijärjestelyt huomioivat toiminnan riskit (ts. riskialttiimmat suojattavat kohteet edellyttävät tarkempaa monitorointia).</t>
  </si>
  <si>
    <t>Tilannekuvan muodostaminen</t>
  </si>
  <si>
    <t>Organisaatiolla on ennalta määritellyt toimintatavat, jotka aktivoidaan (automaattisesti tai manuaalisesti) koostetun ja analysoidun monitorointitiedon perusteella. [kts. THREAT-1k ja RESPONSE-3h].</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</si>
  <si>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</si>
  <si>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</si>
  <si>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Havaitut kybertapahtumat raportoidaan - ainakin tapauskohtaisesti - nimetylle henkilölle tai roolille, joka rekisteröi tapahtumat.</t>
  </si>
  <si>
    <t>Kybertapahtumien havaitsemiselle on määritelty kriteerit (esim. tapahtuman määritelmä, mistä tapahtumia etsitään).</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</si>
  <si>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</si>
  <si>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Kyberhäiriöiden tunnistamiseen käytetään virallisia kriteerejä, jotka perustuvat häiriön mahdolliseen vaikutukseen toiminnan osa-alueella [kts. RISK-1c].</t>
  </si>
  <si>
    <t>Kyberhäiriöiden tunnistamisen kriteerit päivitetään organisaation määrittämin aikavälein.</t>
  </si>
  <si>
    <t>Eskaloidut kybertapahtumat ja kyberhäiriöt kirjataan rekisteriin ("logged") ja niiden tilannetta seurataan rekisterissä kunnes ne voidaan merkitä suljetuiksi ("tracked until closure").</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</si>
  <si>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</si>
  <si>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Kybertapahtumien ja -häiriöiden käsittelyyn ja reagointiin osallistuvat työntekijät ottavat osaa yhteisiin harjoituksiin muiden organisaatioiden kanssa (esim. työpöytäharjoitukset, simulaatiot).</t>
  </si>
  <si>
    <t>Kybertapahtumiin ja -häiriöihin reagoinnissa noudatetaan organisaation ennalta määritettyjä toimintatapoja [kts. SITUATION-3h].</t>
  </si>
  <si>
    <t>Henkilöstön hallinta</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</si>
  <si>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</si>
  <si>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</si>
  <si>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Kyberturvallisuuteen liittyvät vastuut on jaettu nimetyille rooleille, mkl. ulkoisille palveluntarjoajille (esim. internetpalveluntarjoajat, kyberturvallisuuspalvelujen, pilvipalvelujen tai IT-/OT-palvelujen tarjoajat).</t>
  </si>
  <si>
    <t>Nimetyille henkilöille jaetut kyberturvallisuuteen liittyvät vastuut ylläpidetään vastuiden kattavuuden ja riittävyyden varmistamiseksi. Tässä huomioidaan myös henkilövaihdosten suunnittelu ("succession planning").</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</si>
  <si>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</si>
  <si>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Kybertyöntekijöiden osaamiseen ja taitoihin liittyviä vaatimuksia ja mahdollisia puutteita tunnistetaan sekä nykyisiä että tulevia käyttötarpeita varten. (Kybertyöntekijöitä ovat työntekijät, joille on nimetty kyberturvallisuuteen liittyviä vastuita).</t>
  </si>
  <si>
    <t>Koulutusohjelmien tehokkuutta arvioidaan organisaation määrittelemin aikavälein ja koulutusta kehitetään tarpeen vaatiessa.</t>
  </si>
  <si>
    <t>Henkilöstön hallintatoimet</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</si>
  <si>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</si>
  <si>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Jokaista työtehtävää varten tehdään asianmukaiset taustatarkistukset, jotka ovat suhteessa tehtäväkohtaiseen riskiin. Tämä kattaa sekä organisaation työntekijät, toimittajat että alihankkijat.</t>
  </si>
  <si>
    <t>Kybertietoisuuden lisäämiseen tähtäävien toimenpiteiden sisältöön vaikuttaa organisaation määrittämä uhkaprofiili [kts. THREAT-1d].</t>
  </si>
  <si>
    <t>Kyberturvallisuusarkkitehtuuris ja -kehitysohjelma</t>
  </si>
  <si>
    <t>Kyberarkkitehtuurille on määritetty hallintamalli ("governance"), jota pidetään yllä (esim. arkkitehtuurin arviointitoimikunta). Hallintamalli kattaa vaatimukset säännöllisistä arkkitehtuurikatselmoinneista sekä päätöksenteon poikkeusprosessille ("exception process").</t>
  </si>
  <si>
    <t>Sisäisesti kehitettävien sovellusten kehitystyössä noudatetaan turvallisen sovelluskehityksen periaatteita. (Koskee sovelluksia, joita kehitetään toiminnan osa-alueen toimintavarmuuden kannalta tärkeisiin suojattaviin kohteisiin).</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</si>
  <si>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</si>
  <si>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</si>
  <si>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The cybersecurity program strategy and priorities are documented and aligned with the organization’s strategic objectives and risk to critical infrastructure</t>
  </si>
  <si>
    <t>Kyberturvallisuusstrategia ja sen prioriteetit on dokumentoitu. Strategia ja prioriteetit heijastavat organisaation yleisiä strategisia tavoitteita ja kriittiseen infrastruktuuriin kohdistuvia riskejä.</t>
  </si>
  <si>
    <t>Organisaatio tekee yhteistyötä organisaation ulkopuolisten toimijoiden ja järjestöjen kanssa tukeakseen osaltaan kyberturvallisuusstandardien, ohjeistuksien, johtavien käytäntöjen, opittujen kokemusten sekä kehittyvien teknologioiden kehittämistä ja täytäntöönpanoa.</t>
  </si>
  <si>
    <t>Kyberturvallisuus osana jatkuvuussuunnittelua</t>
  </si>
  <si>
    <t>Kyberturvallisuusstrategian ja toiminnan jatkuvuuteen liittyvien suunnitelmien tulisi sopia keskenään yhteen. Näiden yhteensovittaminen on tärkeää jatkuvuussuunnitelmien ylläpitämiseksi ja toimintojen palauttamiseksi kybertapahtumien yhteydessä. Potentiaalisten kyberhäiriöiden huomioiminen jatkuvuussuunnitelmissa edellyttää tunnettujen kyberuhkien ja kyberriskiluokkien huomioimista. Jatkuvuussuunnitelmien testaamisessa tulisi ottaa huomioon kyberhäiriöt, jotta voidaan varmistua suunnitelmien toimivuudesta kyseisten häiriöiden yhteydessä.</t>
  </si>
  <si>
    <t>Jatkuvuussuunnitelmissa on tunnistettu ja dokumentoitu ne suojattavat kohteet ja toiminnat, jotka tarvitaan toiminnan osa-alueen minimitoiminnallisuuden ylläpitämiseen.</t>
  </si>
  <si>
    <t>Kyberhäiriöiden osalta on määritetty kriteerit, joiden perusteella jatkuvuussuunnitelmat otetaan käyttöön ja nämä kriteerit on kommunikoitu kyberhäiriöitä tutkiville ja käsitteleville yksiköille ("Incident Reponse") sekä jatkuvuudenhallinnasta vastaaville yksiköille.</t>
  </si>
  <si>
    <t>Jatkuvuussuunnitelmien testauksesta tai tositilanteista saatuja tuloksia ja kokemuksia verrataan palautumistavoitteisiin ja suunnitelmia parannetaan näiden perusteella.</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</si>
  <si>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</si>
  <si>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Current</t>
  </si>
  <si>
    <t>Domain_text</t>
  </si>
  <si>
    <t>KM70</t>
  </si>
  <si>
    <t>KM71</t>
  </si>
  <si>
    <t>KM72</t>
  </si>
  <si>
    <t>Previous</t>
  </si>
  <si>
    <t>Reference</t>
  </si>
  <si>
    <t>Referenssi</t>
  </si>
  <si>
    <t>Nykytila</t>
  </si>
  <si>
    <t>Edellinen</t>
  </si>
  <si>
    <t>Background</t>
  </si>
  <si>
    <t>MIL0</t>
  </si>
  <si>
    <t>MIL1</t>
  </si>
  <si>
    <t>MIl2</t>
  </si>
  <si>
    <t>MIL3</t>
  </si>
  <si>
    <t>Kyberuhat</t>
  </si>
  <si>
    <t>Henkilöstö</t>
  </si>
  <si>
    <t>Kriittiset
palvelut</t>
  </si>
  <si>
    <t>Riskien
hallinta</t>
  </si>
  <si>
    <t>Toimitus
ketjut</t>
  </si>
  <si>
    <t>Laiteet
ja tieto</t>
  </si>
  <si>
    <t>Pääsyn
hallinta</t>
  </si>
  <si>
    <t>Kyber
häiriöt</t>
  </si>
  <si>
    <t>Kehitys
ohjelma</t>
  </si>
  <si>
    <t>Kyber
arkkitehtuuri</t>
  </si>
  <si>
    <t>Report labels</t>
  </si>
  <si>
    <t>Referenssiryhmän keskiarvo</t>
  </si>
  <si>
    <t>Report colourschema</t>
  </si>
  <si>
    <t>KM73</t>
  </si>
  <si>
    <t>Activities required for progressing to Maturity Level 1</t>
  </si>
  <si>
    <t>PR</t>
  </si>
  <si>
    <t>KM62</t>
  </si>
  <si>
    <t>Current Maturity Level</t>
  </si>
  <si>
    <t>Previous Maturity Level</t>
  </si>
  <si>
    <t>Reference Group</t>
  </si>
  <si>
    <t>KM74</t>
  </si>
  <si>
    <t>KM63</t>
  </si>
  <si>
    <t xml:space="preserve"> Following Cybersecurity Domains</t>
  </si>
  <si>
    <t xml:space="preserve"> Kyberturvallisuuden osioiden mukaisesti</t>
  </si>
  <si>
    <t>KM64</t>
  </si>
  <si>
    <t>KM65</t>
  </si>
  <si>
    <t xml:space="preserve"> Following an indicative mapping from C2M2 to NIST Framework Core</t>
  </si>
  <si>
    <t xml:space="preserve"> Perustuen suuntaa-antavaan ristiinkytkentään C2M2 ja NIST-mallien välillä</t>
  </si>
  <si>
    <t>Implementation of C2M2 Practices</t>
  </si>
  <si>
    <t>NIST Cybersecurity Framework Core</t>
  </si>
  <si>
    <t>Yksityiskohtainen NIST Cybersecurity Framework Core -raportti</t>
  </si>
  <si>
    <t>Detailed NIST Cybersecurity Framework Core report</t>
  </si>
  <si>
    <t xml:space="preserve"> Following NIST Cybersecurity Framework Core</t>
  </si>
  <si>
    <t xml:space="preserve"> NIST Cybersecurity -viitekehyksen mukaisesti</t>
  </si>
  <si>
    <t>ACM-1b</t>
  </si>
  <si>
    <t>V2.0MIL</t>
  </si>
  <si>
    <t>sup1</t>
  </si>
  <si>
    <t>sup2</t>
  </si>
  <si>
    <t>Verktyg för bedömning av cybersäkerhet</t>
  </si>
  <si>
    <t>Kontaktperson</t>
  </si>
  <si>
    <t xml:space="preserve">Handledare </t>
  </si>
  <si>
    <t>Beskrivning av det delområde som bedöms</t>
  </si>
  <si>
    <t>Samhällelig inverkan av delområdet i fråga</t>
  </si>
  <si>
    <t>Avsnitten för cybersäkerheten</t>
  </si>
  <si>
    <t>Nivån på investeringar i cybersäkerhet</t>
  </si>
  <si>
    <t>Nivån på investeringar i cybersäkerhet (fliken Investment)</t>
  </si>
  <si>
    <t>Import och export av resultaten (fliken DataExport)</t>
  </si>
  <si>
    <t>Ledningens rapport om mognad (flik R1)</t>
  </si>
  <si>
    <t>Rapport om Cybermätarens mognad (flik R2)</t>
  </si>
  <si>
    <t>Detaljerad NIST Framework Core-rapport (flik R3)</t>
  </si>
  <si>
    <t>Bransch</t>
  </si>
  <si>
    <t>Funktion</t>
  </si>
  <si>
    <t>Rapport om Cybermätarens mognad (R2)</t>
  </si>
  <si>
    <t>Ledningens rapport om mognad (R1)</t>
  </si>
  <si>
    <t>I enlighet med referensramen NIST Cybersecurity</t>
  </si>
  <si>
    <t>I enlighet med avsnitten för cybersäkerheten</t>
  </si>
  <si>
    <t>Detaljerad NIST Cybersecurity Framework Core-rapport</t>
  </si>
  <si>
    <t>Baserad på en riktgivande korskoppling mellan C2M2 och NIST</t>
  </si>
  <si>
    <t>Cybersäkerhetens mognadsgrad</t>
  </si>
  <si>
    <t>Nuläget</t>
  </si>
  <si>
    <t>Föregående</t>
  </si>
  <si>
    <t>Referens</t>
  </si>
  <si>
    <t>Åtgärder som kärvs på mognadsnivå 1</t>
  </si>
  <si>
    <t>Nivå 0</t>
  </si>
  <si>
    <t>Nivå 1</t>
  </si>
  <si>
    <t>Nivå 2</t>
  </si>
  <si>
    <t>Nivå 3</t>
  </si>
  <si>
    <t>Select five of the largest investments into cybersecurity from the previous 24 months and report the numbers in thousands of euros (x 1 000 €). Report only the investments where the primary purpose is related to cybersecurity development or maintenance activities.
Please estimate the expected level of cybersecurity investments for the next 12 months and report those figures into the 'Planned' column. Where the exact amounts are not yet known, but investment decisions have been made, please mark those categories with an 'x'.</t>
  </si>
  <si>
    <t>Identiteetin ja pääsynhallinnan osiossa arvioidaan organisaation kykyä hallita ja rajoittaa pääsyä suojattaviin kohteisiin. Organisaation tulee luoda ja ylläpitää identiteettejä toimijoille, joille halutaan myöntää pääsy fyysisesti tai verkon yli organisaation suojattaviin kohteisiin. Organisaation tulee hallita käyttöoikeuksia suojattaviin kohteisiin suhteessa sekä niihin kohdistuviin riskeihin, että organisaation asettamiin tavoitteisiin.</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</si>
  <si>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</si>
  <si>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Niille henkilöille ja muille toimijoille (kuten laitteille, järjestelmille tai prosesseille), jotka tarvitsevat pääsyn suojattaviin kohteisiin luodaan identiteetit - ainakin tapauskohtaisesti. (Huom. tämä vaatimus ei estä jaettujen identiteettien käyttöä).</t>
  </si>
  <si>
    <t>Käyttöoikeuksien hallinta kattaa käyttöoikeusvaatimusten määrittelyn sekä oikeuksien myöntämisen ja käytöstä poiston asetettujen vaatimusten mukaisesti. Käyttöoikeusvaatimukset yhdistetään suojattaviin kohteisiin ja vaatimukset määräävät mm. minkä tyyppiset toimijat voivat saada pääsyn suojattavaan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</si>
  <si>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Asetettuja vaatimuksia noudatetaan, kun päätetään käyttöoikeuksien myöntämisestä eri identiteeteille - ainakin tapauskohtaisesti.</t>
  </si>
  <si>
    <t>Käyttöoikeudet katselmoidaan ja päivitetään ajantasaisiksi organisaation määrittelemin aikavälein, jotta varmistetaan että ne noudattavat asetettuja vaatimuksia.</t>
  </si>
  <si>
    <t>Kyberturvallisuusarkkitehtuurin osiossa arvioidaan organisaation kykyä hallita ja ylläpitää kyberturvallisuustoimintaansa. Organisaation tulee luoda ja ylläpitää rakenteita, joilla se hallinnoi ja ohjaa organisaation kyberturvallisuuskontrolleja, -prosesseja ja muiden kyberturvallisuuden osa-alueiden toimintaa suhteessa sekä suojattaviin kohteisiin kohdistuviin riskeihin, että organisaation asettamiin tavoitteisiin.</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</si>
  <si>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kyberturvallisuusarkkitehtuuri suunnitellaan toimimaan yhdessä organisaation yritysarkkitehtuuristrategian kanssa, toimii se syötteenä mm. riskianalyyseille ja suojattavien kohteiden konfiguroinnille.</t>
  </si>
  <si>
    <t>Kyberarkkitehtuuri noudattaa kyberturvallisuuden periaatteita ja mahdollistaa niiden toteuttamisen (kuten minimi-toiminnallisuus ("least functionality"), oletus kielto ("deafult deny"), pienimmät käyttöoikeudet ("least privilege")).</t>
  </si>
  <si>
    <t>Kyberarkkitehtuuristrategia ja kyberturvallisuuden kehityssuunnitelma noudattelevat organisaation laajempaa yritysarkkitehtuuristrategiaa ja -kehityssuunnitelmia.</t>
  </si>
  <si>
    <t>Organisaation järjestelmien ja verkkojen vaatimustenmukaisuutta kyberarkkitehtuuriin nähden arvioidaan organisaation määrittelemien kriteerien perusteella (esim. toteuttamisesta kulunut aika tai järjestelmissä, verkoissa tai suojattavissa kohteissa tapahtuvat muutokset).</t>
  </si>
  <si>
    <t>Kyberarkkitehtuurin määrittelyssä hyödynnetään järjestelmällisesti organisaation tunnistamia riskejä [kts. RISK-2e] ja uhkia [kts. THREAT-1d] helpottamaan tarvittavien kontrollien toteuttamista.</t>
  </si>
  <si>
    <t>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t>
  </si>
  <si>
    <t>Organisaatio tunnistaa riippuvuudet tärkeimpiin IT- ja OT-toimittajiin - vaikka ei välttämättä systemaattisesti ja kaiken kattavasti. Toimittajariippuvuuksilla tarkoitetaan sisäisiä ja ulkoisia toimijoita, joista toiminnan osa-alueen toimintavarmuus on riippuvainen.</t>
  </si>
  <si>
    <t>Organisaatio tunnistaa riippuvuudet tärkeimpiin asiakkaisiin - vaikka ei välttämättä systemaattisesti ja kaiken kattavasti. Asiakasriippuvuuksilla tarkoitetaan sisäisiä ja ulkoisia toimijoita, jotka ovat riippuvaisia toiminnan osa-alueen toimintavarmuudesta.</t>
  </si>
  <si>
    <t>Organisaatio tunnistaa toimittajasuhteisiin ja muihin riippuvuuksiin liittyvät merkittävät kyberriskit ja puuttuu niihin - vaikka ei välttämättä systemaattisesti ja kaiken kattavasti.</t>
  </si>
  <si>
    <t>Organisaatio huomioi kyberturvallisuusvaatimukset, kun se muodostaa suhteita toimittajien ja muiden kolmansien osapuolten kanssa - vaikka ei välttämättä systemaattisesti ja kaiken kattavasti.</t>
  </si>
  <si>
    <t>Organisaatio on osoittanut resurssit (henkilöt, rahoitus ja työkalut), joilla perustaa kyberturvallisuuden kehitysohjelma - vaikka ei välttämättä systemaattisesti ja kaiken kattavasti.</t>
  </si>
  <si>
    <t>Organisaation ylin johto (jäsenet, joilla on sopivat toimivaltuudet) tukee kyberturvallisuuden kehitysohjelmaa - vaikka ei välttämättä systemaattisesti ja kaiken kattavasti.</t>
  </si>
  <si>
    <t>Jatkuvuussuunnitelmia on kehitetty kybertapahtumien ja -häiriöiden varalle toiminnan jatkuvuuden ja palautumisen turvaamiseksi - vaikka ei välttämättä systemaattisesti ja kaiken kattavasti.</t>
  </si>
  <si>
    <t>Organisaation IT- ja OT-omaisuudesta ja tietovarannoista on saatavilla varmuuskopiot ja varmuuskopioita testataan - vaikka ei välttämättä systemaattisesti ja kaiken kattavasti.</t>
  </si>
  <si>
    <t>Kyberhäiriöiden tunnistamiselle on määritetty kriteeristö ("criteria for declaring incidents") - vaikka ei välttämättä systemaattisesti ja kaiken kattavasti.</t>
  </si>
  <si>
    <t>Kybertapahtumiin ja -häiriöihin reagointiin ("incident response") on nimetty roolit ja henkilöt - vaikka ei välttämättä systemaattisesti ja kaiken kattavasti.</t>
  </si>
  <si>
    <t>Organisaatio tunnistaa ja dokumentoi toimintaansa kohdistuvia kyberriskejä - vaikka ei välttämättä systemaattisesti ja kaiken kattavasti.</t>
  </si>
  <si>
    <t>Kyberturvallisuuteen liittyvät vastuut on tunnistettu toiminnan osa-alueella - vaikka ei välttämättä systemaattisesti ja kaiken kattavasti.</t>
  </si>
  <si>
    <t>Kyberturvallisuuteen liittyvät vastuut on jaettu nimetyille henkilöille - vaikka ei välttämättä systemaattisesti ja kaiken kattavasti.</t>
  </si>
  <si>
    <t>Kyberturvallisuuskoulutusta on saatavilla sellaisille työntekijöille, joille on nimetty kyberturvallisuuteen liittyviä vastuita - vaikka ei välttämättä systemaattisesti ja kaiken kattavasti.</t>
  </si>
  <si>
    <t>Kun organisaatio palkkaa uusia työntekijöitä tehtäviin, joissa on pääsy toiminnan osa-alueen toimintavarmuuden kannalta kriittisiin suojattaviin kohteisiin, näille työntekijöille teetetään asianmukaiset taustatarkistukset (esim. turvallisuusselvitys, huumetesti) - vaikka ei välttämättä systemaattisesti ja kaiken kattavasti.</t>
  </si>
  <si>
    <t>Työsuhteen päättymiseen liittyvissä menettelyissä on huomioitu kyberturvallisuus - vaikka ei välttämättä systemaattisesti ja kaiken kattavasti.</t>
  </si>
  <si>
    <t>Organisaatio pyrkii tietoisilla toimilla lisäämään (koko) henkilöstön kybertietoisuutta - vaikka ei välttämättä systemaattisesti ja kaiken kattavasti.</t>
  </si>
  <si>
    <t>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</si>
  <si>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</si>
  <si>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Organisaatio priorisoi rekisteröidyn omaisuuden käyttäen virallisia ja dokumentoituja priorisointikriteerejä.</t>
  </si>
  <si>
    <t>Rekisteröityjen suojattavien kohteiden konfiguraatiolle määritetään vakioidut perusasetukset, silloin kun on tarpeellista varmistaa, että samankaltaiset kohteet on konfiguroitu samalla tavalla - vaikka ei välttämättä systemaattisesti ja kaiken kattavasti.</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</si>
  <si>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</si>
  <si>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Tehdyt riskienhallintapäätökset käydään läpi aika ajoin, jotta varmistutaan siitä, että ne ovat pysyneet relevantteina ja pätevinä.</t>
  </si>
  <si>
    <t>Hallintasuunnitelma kattaa perusteellisesti sekä tunnettujen hyökkäysten, että toistaiseksi tuntemattomien hyökkäysten todennäköiset vaikutukset. Suunnitelma kattaa perusteellisesti häiriön koko elinkaaren, roolit ja vastuut sekä raportointivelvoitteet.</t>
  </si>
  <si>
    <t>Organisaatio käyttää toimittajariippuvuuksien tunnistamiseen vakiintuneita kriteereitä.</t>
  </si>
  <si>
    <t>Organisaatio käyttää asiakasriippuvuuksien tunnistamiseen vakiintuneita kriteereitä.</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</si>
  <si>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</si>
  <si>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Tunnistetut riippuvuuksiin liittyvät kyberriskit kirjataan riskirekisteriin [kts. RISK-1d].</t>
  </si>
  <si>
    <t>Organisaatio monitoroi erinäisiä tietolähteitä tunnistaakseen ja välttääkseen toimitusketjuihin liittyviä riskejä (esim. väärennetyt tai turvallisuudeltaan vaarantuneet ohjelmistot, laitteet tai palvelut).</t>
  </si>
  <si>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Sarakkeeseen "Suunniteltu" voit syöttää arvioimasi kulut/investoinnit seuraavien 12 kk aikana. Mikäli summat eivät ole vielä tiedossa, mutta tiedät mihin kategorioihin aiotaan panostaa, voit merkitä kategoriat "x"-merkillä.</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</si>
  <si>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</si>
  <si>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</si>
  <si>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</si>
  <si>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</si>
  <si>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</si>
  <si>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Jatkuvuussuunnitelmat kattavat toiminnan osa-alueen toimintavarmuuden kannalta tärkeän IT- ja OT-omaisuuden ja tietovarannot. Suunnitelmat ottavat kantaa varmuuskopioiden saatavuuteen sekä korvaaviin ja varalla oleviin suojattaviin IT- ja OT-kohteisiin.</t>
  </si>
  <si>
    <t>Kybertapahtumien analysointi ja häiriöksi korottaminen</t>
  </si>
  <si>
    <t>Kybertapahtumat analysoidaan, jotta häiriöiden tunnistaminen voidaan tehdä - ainakin tapauskohtaisesti.</t>
  </si>
  <si>
    <t>Kyberhäiriöiden varalle on määritetty ja pidetään yllä reagointisuunnitelmia ("incident response plans"), jotka kattavat häiriöiden hallinnan kaikki vaiheet (kuten triage, eskalointi, käsittely, kommunikointi, koordinointi ja sulkeminen).</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</si>
  <si>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</si>
  <si>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Organisaatio toteuttaa riskiarviointeja tai -kartoituksia, joiden avulla se tunnistaa kyberriskejä. Arviointeja toteutetaan organisaation määrittelemien kriteereiden mukaisesti (esim. määräajoin, järjestelmämuutosten yhteydessä tai uhkaympäristön muuttuessa).</t>
  </si>
  <si>
    <t>Organisaatio monitoroi kyberturvallisuustoimintojaan (esim. määräajoin tapahtuva lokien katselmointi) - ainakin tapauskohtaisesti.</t>
  </si>
  <si>
    <t>Koko tuotantoympäristöä monitoroidaan automaattisesti poikkeamien varalta.</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</si>
  <si>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</si>
  <si>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Values entered into this table are presented in the automated reports</t>
  </si>
  <si>
    <t>This table can be used to extract results for storing or sending outside of the tool.</t>
  </si>
  <si>
    <t>Tähän taulukkoon syötetyt vertailutiedot esitetään raporteissa.</t>
  </si>
  <si>
    <t>Tätä taulukkoa voidaan käyttää arviointitulosten siirtämiseen tai lähettämiseen.</t>
  </si>
  <si>
    <t>Worksheet general parameters.</t>
  </si>
  <si>
    <t>Parameter area</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</si>
  <si>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</si>
  <si>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</si>
  <si>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</si>
  <si>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</si>
  <si>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</si>
  <si>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</si>
  <si>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</si>
  <si>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</si>
  <si>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</si>
  <si>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</si>
  <si>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</si>
  <si>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</si>
  <si>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</si>
  <si>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</si>
  <si>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</si>
  <si>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</si>
  <si>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</si>
  <si>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</si>
  <si>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</si>
  <si>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</si>
  <si>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</si>
  <si>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</si>
  <si>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Energy</t>
  </si>
  <si>
    <t>Logistics</t>
  </si>
  <si>
    <t>Information Technology</t>
  </si>
  <si>
    <t>Food and Agriculture</t>
  </si>
  <si>
    <t>Financial Services</t>
  </si>
  <si>
    <t>Critical Manufacturing</t>
  </si>
  <si>
    <t>Healthcare and Publich Health</t>
  </si>
  <si>
    <t>None of the below</t>
  </si>
  <si>
    <t>Energiförsörjning</t>
  </si>
  <si>
    <t>Logistik</t>
  </si>
  <si>
    <t>Kybermittarin arviointityökalu auttaa organisaatioita muodostamaan kyberturvallisuuden tilannekuvan ja ohjaamaan kyberturvallisuuden kehitystoimintaa. Työkalu koostuu tästä arviointityökalusta ja sen käyttöohjeesta. Kybermittarissa hyödynnetään suoraan Yhdysvaltain Energiaviraston C2M2-mallin kymmentä kyberturvallisuuden osiota englanninkielisine teksteineen. Arviointityökalun versio on 1.0.
Kybermittarin arviointityökalu, käyttöohje ja käyttöehdot ovat saatavilla osoitteesta www.Kybermittari.fi. Tutustuthan Kybermittarin käyttöohjeeseen ja käyttöehtoihin ennen mittarin käyttöönottoa.</t>
  </si>
  <si>
    <t>This Kybermittari Self-assessment Tool allows the organisation to measure and understand its current cybersecurity maturity level and direct its cybersecurity development activities accordingly. The Self-assessment Tool comprises of this spreadsheet and an associated Kybermittari User Guide. Kybermittari directly references the US Department of Energy C2M2 model and its english language texts. The version of this self-assessment tool is V1.0.
The Self-assessment Tool, the associated User Guide and Terms &amp; Conditions are available at www.Kybermittari.fi. Please familiriase yourself and your organisation with the User Guide and the Terms &amp; Conditions before adopting the Self-assessment Tool into use.</t>
  </si>
  <si>
    <t xml:space="preserve">Bedömningsverktyget för Cybermätaren hjälper organisationer att göra upp en lägesbild av cybersäkerheten och styra utvecklingen av cybersäkerheten. Verktyget består av detta bedömningsverktyg och anvisningar till verktyget. Cybermätaren hänvisar direkt till US Department of Energy C2M2-modellen och dess engleskspråkiga texter. Bedömningsverktygets version är 1.0.
Bedömningsverktyget för Cybermätaren, anvisningar för användning och användningsvillkoren finns tillgängliga på www.kybermittari.fi. Kom ihåg att bekanta dig med anvisningarna och villkoren innan du börjar använda mätaren
</t>
  </si>
  <si>
    <t>#Total</t>
  </si>
  <si>
    <t>#Implemented</t>
  </si>
  <si>
    <t>Report domains</t>
  </si>
  <si>
    <t>DEPEND.</t>
  </si>
  <si>
    <t>ARCHITEC.</t>
  </si>
  <si>
    <t>aggr</t>
  </si>
  <si>
    <t>R1.01-2020-10-30</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</si>
  <si>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</si>
  <si>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Kategori</t>
  </si>
  <si>
    <t>Personal (intern)</t>
  </si>
  <si>
    <t>Konsultverksamhet</t>
  </si>
  <si>
    <t>Tjänster</t>
  </si>
  <si>
    <t>Programvarulicenser</t>
  </si>
  <si>
    <t>Invest. i hårdvara</t>
  </si>
  <si>
    <t>Planerad</t>
  </si>
  <si>
    <t>Jämförelseuppgifter</t>
  </si>
  <si>
    <t>Import av jämförelseuppgifter och export av bedömningsresultat</t>
  </si>
  <si>
    <t>Tidigare resultat</t>
  </si>
  <si>
    <t>Exporterar resultat</t>
  </si>
  <si>
    <t>De jämförelseuppgifter som skrivits in i denna tabell visas i rapporterna.</t>
  </si>
  <si>
    <t>Denna tabell kan användas för att överföra eller sända bedömningsresultaten.</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</si>
  <si>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</si>
  <si>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</si>
  <si>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1) Visa fliken Utvecklare
- Gå till alternativ&gt; Anpassa menyfliksområdetpå fliken Arkiv.
- Under Anpassa menyflik och under Huvudflikar väljer du kryssrutan Utvecklare.
2) Exportera XML-data
- Klicka på Utvecklare &gt; Exportera.
- Spara .xml-filen med namnet du väjer.</t>
  </si>
  <si>
    <t>Quick guide for exporting results (Microsoft Office Excel 2016)</t>
  </si>
  <si>
    <t>Pikaohjeet tulosten vientiin (Microsoft Office Excel 2016)</t>
  </si>
  <si>
    <t>Snabbguide för export av resultat (Microsof Office Excel 2016)</t>
  </si>
  <si>
    <t xml:space="preserve">1 - Ej implementerad </t>
  </si>
  <si>
    <t>2 - Partiellt implementerad</t>
  </si>
  <si>
    <t>3 - Mestadels implementerad</t>
  </si>
  <si>
    <t>4 - Helt implementerad</t>
  </si>
  <si>
    <t>Livsmedelsförsörjning</t>
  </si>
  <si>
    <t>Ej fbk bransch</t>
  </si>
  <si>
    <t>Finansbranschen</t>
  </si>
  <si>
    <t>Kritisk industriproduktion</t>
  </si>
  <si>
    <t>Hälso- och sjukvård</t>
  </si>
  <si>
    <t>Informationssamhället</t>
  </si>
  <si>
    <t>Livsmedel - Primärproduktion</t>
  </si>
  <si>
    <t>Livsmedel - Livsmedelsindustri</t>
  </si>
  <si>
    <t>Livsmedel - Handel och distribution</t>
  </si>
  <si>
    <t>Livsmedel - Övrig</t>
  </si>
  <si>
    <t>Energi - Kraftekonomi</t>
  </si>
  <si>
    <t>Energi - Olja</t>
  </si>
  <si>
    <t>Energi - Övrig</t>
  </si>
  <si>
    <t>Finans - Finansiell service</t>
  </si>
  <si>
    <t>Finans - Försäkringsbranschen</t>
  </si>
  <si>
    <t>Finans - Övrig</t>
  </si>
  <si>
    <t>Industri - Kemi</t>
  </si>
  <si>
    <t>Industri - Skog</t>
  </si>
  <si>
    <t>Industri - MIL</t>
  </si>
  <si>
    <t>Industri - Plast och gummi</t>
  </si>
  <si>
    <t>Industri - Bygg</t>
  </si>
  <si>
    <t>Industri - Teknik</t>
  </si>
  <si>
    <t>Industri - Övrig</t>
  </si>
  <si>
    <t>Logistik - Lufttransporter</t>
  </si>
  <si>
    <t>Logistik - Landtransporter</t>
  </si>
  <si>
    <t>Logistik - Sjötransporter</t>
  </si>
  <si>
    <t>Logistik - Övrig</t>
  </si>
  <si>
    <t>Hälso - Hälso- och sjukvård</t>
  </si>
  <si>
    <t>Hälso - Vattenförsörjning</t>
  </si>
  <si>
    <t>Hälso - Övrig</t>
  </si>
  <si>
    <t>Information - Digital</t>
  </si>
  <si>
    <t>Information - Media</t>
  </si>
  <si>
    <t>Information - Övrig</t>
  </si>
  <si>
    <t>Energy - Power</t>
  </si>
  <si>
    <t>Energy - Oil</t>
  </si>
  <si>
    <t>Energy - Other</t>
  </si>
  <si>
    <t>Finance - Financial Services</t>
  </si>
  <si>
    <t>Finance - Insurance</t>
  </si>
  <si>
    <t>Finance - Other</t>
  </si>
  <si>
    <t>Critical Manufacturing - Chemistry</t>
  </si>
  <si>
    <t>Critical Manufacturing - Forestry</t>
  </si>
  <si>
    <t>Critical Manufacturing - Military</t>
  </si>
  <si>
    <t>Critical Manufacturing - Plastic and rubber</t>
  </si>
  <si>
    <t>Critical Manufacturing - Construction</t>
  </si>
  <si>
    <t>Critical Manufacturing - Technology</t>
  </si>
  <si>
    <t>Critical Manufacturing - Other</t>
  </si>
  <si>
    <t>Logistics - Air transport</t>
  </si>
  <si>
    <t>Logistics - Ground transport</t>
  </si>
  <si>
    <t>Logistics - Sea transport</t>
  </si>
  <si>
    <t>Logistics - Other</t>
  </si>
  <si>
    <t>Public health - Healthcare</t>
  </si>
  <si>
    <t>Public health - Water and waste</t>
  </si>
  <si>
    <t>Public health - Other</t>
  </si>
  <si>
    <t>Information - Digital services</t>
  </si>
  <si>
    <t>Information - Other</t>
  </si>
  <si>
    <t>Food and Agriculture - Agriculture</t>
  </si>
  <si>
    <t>Food and Agriculture - Foodstuff</t>
  </si>
  <si>
    <t>Food and Agriculture - Trade and distribution</t>
  </si>
  <si>
    <t>Food and Agriculture - Other</t>
  </si>
  <si>
    <t>NB! Blue colour text is used intentionally for the formatting of reports.</t>
  </si>
  <si>
    <t>Hantering av leveranskedjor och externa beroenden</t>
  </si>
  <si>
    <t>Program för hantering av cybersäkerhet</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</si>
  <si>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</si>
  <si>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Ledningens stöd till programmet för hantering av cybersäkerhet</t>
  </si>
  <si>
    <t>Cybersäkerhetsstrategin fastställer en struktur och en organisation för programmet för hantering av cybersäkerhet.</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</si>
  <si>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</si>
  <si>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Organisationen har åtminstone i enskilda fall tillgång till nödvändiga resurser (personal, verktyg, finansiering) för att bygga ett program för hantering av cybersäkerhet</t>
  </si>
  <si>
    <t>Högsta ledningen stöder programmet för hantering av cybersäkerhet med behörig auktoritet åtminstone i enskilda fall</t>
  </si>
  <si>
    <t>Programmet för hantering av cybersäkerhet har skapats enligt cybersäkerhetsstrategin.</t>
  </si>
  <si>
    <t>Högsta ledningens stöd till programmet för hantering av cybersäkerhet är synligt och aktivt (t.ex. högsta ledningen understryker regelbundet hur viktig cybersäkerheten är för organisationen).</t>
  </si>
  <si>
    <t>Ansvaret för programmet för hantering av cybersäkerhet har fastställts för en roll som har nödvändiga behörigheter.</t>
  </si>
  <si>
    <t>Berörda parter i programmet för hantering av cybersäkerhet identifieras och involveras i hanteringen.</t>
  </si>
  <si>
    <t>Prestandan i programmet för hantering av cybersäkerhet mäts i syfte att kontrollera att den stämmer överens med strategin.</t>
  </si>
  <si>
    <t>Programmet för hantering av cybersäkerhet beaktar överensstämmelsen med kraven och gör det möjligt att uppfylla kraven.</t>
  </si>
  <si>
    <t>Programmet för hantering av cybersäkerhet har tillräckliga resurser (personal, verktyg, finansiering) för att programmet ska fungera enligt strategin.</t>
  </si>
  <si>
    <t>Oberoende aktörer (t.ex. externa utvärderare av programmet för hantering av cybersäkerhet, som är underställda organisationens styrningsorgan) utvärderar cybersäkerhetsåtgärdernas överensstämmelse med cybersäkerhetspolicyerna och -processerna.</t>
  </si>
  <si>
    <t>Tillräckliga resurser (personal, finansiering, verktyg) finns att tillgå för att stöda funktioner i anslutning till ämnesområdet PROGRAM</t>
  </si>
  <si>
    <t>1. Små systemiska verkningar</t>
  </si>
  <si>
    <t>2. Stora systemiska verkningar</t>
  </si>
  <si>
    <t>3. Förlamande systemiska verkningar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</si>
</sst>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5" x14ac:knownFonts="1">
    <font>
      <sz val="11"/>
      <color theme="1"/>
      <name val="Verdana"/>
      <family val="2"/>
      <scheme val="minor"/>
    </font>
    <font>
      <sz val="11"/>
      <color theme="1"/>
      <name val="Verdana"/>
      <family val="2"/>
      <scheme val="minor"/>
    </font>
    <font>
      <sz val="11"/>
      <color theme="0"/>
      <name val="Verdana"/>
      <family val="2"/>
      <scheme val="minor"/>
    </font>
    <font>
      <sz val="11"/>
      <color theme="1"/>
      <name val="Verdana"/>
      <family val="2"/>
    </font>
    <font>
      <b/>
      <sz val="8"/>
      <name val="Verdana"/>
      <family val="2"/>
    </font>
    <font>
      <sz val="9"/>
      <name val="Verdana"/>
      <family val="2"/>
    </font>
    <font>
      <b/>
      <sz val="10"/>
      <name val="Verdana"/>
      <family val="2"/>
    </font>
    <font>
      <b/>
      <sz val="8"/>
      <color rgb="FF1D477C"/>
      <name val="Verdana"/>
      <family val="2"/>
    </font>
    <font>
      <b/>
      <sz val="8"/>
      <color theme="1"/>
      <name val="Verdana"/>
      <family val="2"/>
    </font>
    <font>
      <b/>
      <sz val="11"/>
      <color rgb="FF1D477C"/>
      <name val="Verdana"/>
      <family val="2"/>
    </font>
    <font>
      <sz val="8"/>
      <color theme="1"/>
      <name val="Verdana"/>
      <family val="2"/>
    </font>
    <font>
      <b/>
      <sz val="8"/>
      <color rgb="FF00B0F0"/>
      <name val="Verdana"/>
      <family val="2"/>
    </font>
    <font>
      <b/>
      <sz val="12"/>
      <color theme="1"/>
      <name val="Verdana"/>
      <family val="2"/>
      <scheme val="minor"/>
    </font>
    <font>
      <sz val="9"/>
      <color theme="1"/>
      <name val="Verdana"/>
      <family val="2"/>
      <scheme val="minor"/>
    </font>
    <font>
      <b/>
      <sz val="9"/>
      <color theme="1"/>
      <name val="Verdana"/>
      <family val="2"/>
      <scheme val="minor"/>
    </font>
    <font>
      <sz val="9"/>
      <color theme="1"/>
      <name val="Verdana"/>
      <family val="2"/>
    </font>
    <font>
      <b/>
      <sz val="9"/>
      <color theme="0"/>
      <name val="Verdana"/>
      <family val="2"/>
    </font>
    <font>
      <b/>
      <sz val="11"/>
      <name val="Verdana"/>
      <family val="2"/>
    </font>
    <font>
      <b/>
      <sz val="9"/>
      <color rgb="FF1D477C"/>
      <name val="Verdana"/>
      <family val="2"/>
    </font>
    <font>
      <b/>
      <sz val="9"/>
      <name val="Verdana"/>
      <family val="2"/>
    </font>
    <font>
      <b/>
      <sz val="9"/>
      <color theme="1"/>
      <name val="Verdana"/>
      <family val="2"/>
    </font>
    <font>
      <sz val="9"/>
      <color theme="4"/>
      <name val="Verdana"/>
      <family val="2"/>
    </font>
    <font>
      <sz val="9"/>
      <color rgb="FF1D477C"/>
      <name val="Verdana"/>
      <family val="2"/>
    </font>
    <font>
      <sz val="9"/>
      <color rgb="FF00B0F0"/>
      <name val="Verdana"/>
      <family val="2"/>
    </font>
    <font>
      <sz val="11"/>
      <name val="Verdana"/>
      <family val="2"/>
    </font>
    <font>
      <sz val="11"/>
      <color rgb="FF00B0F0"/>
      <name val="Verdana"/>
      <family val="2"/>
    </font>
    <font>
      <sz val="8"/>
      <name val="Verdana"/>
      <family val="2"/>
    </font>
    <font>
      <b/>
      <sz val="12"/>
      <color rgb="FF026273"/>
      <name val="Verdana"/>
      <family val="2"/>
    </font>
    <font>
      <b/>
      <sz val="16"/>
      <name val="Verdana"/>
      <family val="2"/>
    </font>
    <font>
      <sz val="16"/>
      <name val="Verdana"/>
      <family val="2"/>
    </font>
    <font>
      <sz val="9"/>
      <name val="Verdana"/>
      <family val="2"/>
      <scheme val="major"/>
    </font>
    <font>
      <b/>
      <sz val="9"/>
      <color rgb="FF1D477C"/>
      <name val="Verdana"/>
      <family val="2"/>
      <scheme val="major"/>
    </font>
    <font>
      <sz val="9"/>
      <color theme="1"/>
      <name val="Verdana"/>
      <family val="2"/>
      <scheme val="major"/>
    </font>
    <font>
      <b/>
      <sz val="8"/>
      <color rgb="FF1D477C"/>
      <name val="Verdana"/>
      <family val="2"/>
      <scheme val="major"/>
    </font>
    <font>
      <sz val="8"/>
      <color theme="1"/>
      <name val="Verdana"/>
      <family val="2"/>
      <scheme val="major"/>
    </font>
    <font>
      <b/>
      <sz val="8"/>
      <color rgb="FF026273"/>
      <name val="Verdana"/>
      <family val="2"/>
      <scheme val="major"/>
    </font>
    <font>
      <b/>
      <sz val="8"/>
      <name val="Verdana"/>
      <family val="2"/>
      <scheme val="major"/>
    </font>
    <font>
      <sz val="8"/>
      <name val="Verdana"/>
      <family val="2"/>
      <scheme val="major"/>
    </font>
    <font>
      <b/>
      <sz val="8"/>
      <color theme="1"/>
      <name val="Verdana"/>
      <family val="2"/>
      <scheme val="major"/>
    </font>
    <font>
      <sz val="11"/>
      <name val="Verdana"/>
      <family val="2"/>
      <scheme val="major"/>
    </font>
    <font>
      <b/>
      <sz val="11"/>
      <color rgb="FF026273"/>
      <name val="Verdana"/>
      <family val="2"/>
      <scheme val="major"/>
    </font>
    <font>
      <b/>
      <sz val="9"/>
      <color theme="0"/>
      <name val="Verdana"/>
      <family val="2"/>
      <scheme val="major"/>
    </font>
    <font>
      <sz val="11"/>
      <color theme="1"/>
      <name val="Verdana"/>
      <family val="2"/>
      <scheme val="major"/>
    </font>
    <font>
      <sz val="9"/>
      <color rgb="FF00B0F0"/>
      <name val="Verdana"/>
      <family val="2"/>
      <scheme val="major"/>
    </font>
    <font>
      <b/>
      <sz val="9"/>
      <color theme="1"/>
      <name val="Verdana"/>
      <family val="2"/>
      <scheme val="major"/>
    </font>
    <font>
      <sz val="9"/>
      <color rgb="FF1D477C"/>
      <name val="Verdana"/>
      <family val="2"/>
      <scheme val="major"/>
    </font>
    <font>
      <sz val="9"/>
      <color theme="4"/>
      <name val="Verdana"/>
      <family val="2"/>
      <scheme val="major"/>
    </font>
    <font>
      <b/>
      <sz val="9"/>
      <name val="Verdana"/>
      <family val="2"/>
      <scheme val="minor"/>
    </font>
    <font>
      <b/>
      <sz val="11"/>
      <color theme="0"/>
      <name val="Verdana"/>
      <family val="2"/>
    </font>
    <font>
      <b/>
      <sz val="10"/>
      <color theme="1"/>
      <name val="Verdana"/>
      <family val="2"/>
    </font>
    <font>
      <b/>
      <sz val="11"/>
      <color rgb="FF026273"/>
      <name val="Verdana"/>
      <family val="2"/>
    </font>
    <font>
      <b/>
      <sz val="11"/>
      <color theme="1"/>
      <name val="Verdana"/>
      <family val="2"/>
      <scheme val="minor"/>
    </font>
    <font>
      <sz val="12"/>
      <color theme="1"/>
      <name val="Verdana"/>
      <family val="2"/>
      <scheme val="minor"/>
    </font>
    <font>
      <sz val="11"/>
      <name val="Verdana"/>
      <family val="2"/>
      <scheme val="minor"/>
    </font>
    <font>
      <b/>
      <sz val="16"/>
      <color rgb="FF0058B1"/>
      <name val="Verdana"/>
      <family val="2"/>
    </font>
    <font>
      <b/>
      <sz val="8"/>
      <color rgb="FF0058B1"/>
      <name val="Verdana"/>
      <family val="2"/>
    </font>
    <font>
      <b/>
      <sz val="12"/>
      <color rgb="FF0058B1"/>
      <name val="Verdana"/>
      <family val="2"/>
    </font>
    <font>
      <b/>
      <sz val="11"/>
      <color rgb="FF0058B1"/>
      <name val="Verdana"/>
      <family val="2"/>
    </font>
    <font>
      <sz val="9"/>
      <color rgb="FF0058B1"/>
      <name val="Verdana"/>
      <family val="2"/>
    </font>
    <font>
      <b/>
      <sz val="10"/>
      <color rgb="FF0058B1"/>
      <name val="Verdana"/>
      <family val="2"/>
    </font>
    <font>
      <b/>
      <sz val="9"/>
      <color rgb="FF0058B1"/>
      <name val="Verdana"/>
      <family val="2"/>
    </font>
    <font>
      <sz val="10"/>
      <name val="Verdana"/>
      <family val="2"/>
    </font>
    <font>
      <b/>
      <sz val="10"/>
      <color theme="0"/>
      <name val="Verdana"/>
      <family val="2"/>
      <scheme val="minor"/>
    </font>
    <font>
      <sz val="10"/>
      <color theme="1"/>
      <name val="Verdana"/>
      <family val="2"/>
      <scheme val="minor"/>
    </font>
    <font>
      <b/>
      <sz val="10"/>
      <color theme="1"/>
      <name val="Verdana"/>
      <family val="2"/>
      <scheme val="minor"/>
    </font>
    <font>
      <b/>
      <sz val="9"/>
      <color rgb="FFFF0000"/>
      <name val="Verdana"/>
      <family val="2"/>
    </font>
    <font>
      <sz val="10"/>
      <color theme="0"/>
      <name val="Verdana"/>
      <family val="2"/>
      <scheme val="minor"/>
    </font>
    <font>
      <u/>
      <sz val="11"/>
      <color theme="10"/>
      <name val="Verdana"/>
      <family val="2"/>
      <scheme val="minor"/>
    </font>
    <font>
      <b/>
      <sz val="14"/>
      <color rgb="FF0058B1"/>
      <name val="Verdana"/>
      <family val="2"/>
      <scheme val="major"/>
    </font>
    <font>
      <sz val="9"/>
      <color rgb="FFFF0000"/>
      <name val="Verdana"/>
      <family val="2"/>
    </font>
    <font>
      <sz val="10"/>
      <color theme="1"/>
      <name val="Verdana"/>
      <family val="2"/>
    </font>
    <font>
      <b/>
      <sz val="18"/>
      <color rgb="FF0058B1"/>
      <name val="Verdana"/>
      <family val="2"/>
      <scheme val="major"/>
    </font>
    <font>
      <sz val="12"/>
      <color rgb="FF0058B1"/>
      <name val="Verdana"/>
      <family val="2"/>
      <scheme val="major"/>
    </font>
    <font>
      <b/>
      <sz val="12"/>
      <color rgb="FF0058B1"/>
      <name val="Verdana"/>
      <family val="2"/>
      <scheme val="major"/>
    </font>
    <font>
      <sz val="9"/>
      <color rgb="FF0058B1"/>
      <name val="Verdana"/>
      <family val="2"/>
      <scheme val="major"/>
    </font>
    <font>
      <sz val="11"/>
      <color rgb="FF0058B1"/>
      <name val="Verdana"/>
      <family val="2"/>
      <scheme val="major"/>
    </font>
    <font>
      <sz val="10"/>
      <color rgb="FF0058B1"/>
      <name val="Verdana"/>
      <family val="2"/>
      <scheme val="major"/>
    </font>
    <font>
      <sz val="10"/>
      <color rgb="FF0058B1"/>
      <name val="Verdana"/>
      <family val="2"/>
    </font>
    <font>
      <sz val="18"/>
      <color theme="1"/>
      <name val="Verdana"/>
      <family val="2"/>
      <scheme val="minor"/>
    </font>
    <font>
      <sz val="9"/>
      <color theme="0"/>
      <name val="Verdana"/>
      <family val="2"/>
      <scheme val="major"/>
    </font>
    <font>
      <sz val="9"/>
      <name val="Verdana"/>
      <family val="2"/>
      <scheme val="minor"/>
    </font>
    <font>
      <sz val="8"/>
      <color theme="0"/>
      <name val="Verdana"/>
      <family val="2"/>
      <scheme val="major"/>
    </font>
    <font>
      <b/>
      <sz val="10"/>
      <name val="Verdana"/>
      <family val="2"/>
      <scheme val="minor"/>
    </font>
    <font>
      <b/>
      <sz val="11"/>
      <color theme="1"/>
      <name val="Verdana"/>
      <family val="2"/>
    </font>
    <font>
      <b/>
      <sz val="10"/>
      <color rgb="FF1D477C"/>
      <name val="Verdana"/>
      <family val="2"/>
    </font>
    <font>
      <sz val="11"/>
      <name val="Calibri"/>
      <family val="2"/>
    </font>
    <font>
      <sz val="11"/>
      <color rgb="FF1D477C"/>
      <name val="Verdana"/>
      <family val="2"/>
    </font>
    <font>
      <sz val="10"/>
      <color theme="4"/>
      <name val="Verdana"/>
      <family val="2"/>
    </font>
    <font>
      <sz val="10"/>
      <color rgb="FF00B0F0"/>
      <name val="Verdana"/>
      <family val="2"/>
    </font>
    <font>
      <b/>
      <sz val="10"/>
      <color rgb="FF00B0F0"/>
      <name val="Verdana"/>
      <family val="2"/>
    </font>
    <font>
      <b/>
      <sz val="9"/>
      <color rgb="FF00B0F0"/>
      <name val="Verdana"/>
      <family val="2"/>
    </font>
    <font>
      <b/>
      <sz val="11"/>
      <color theme="0"/>
      <name val="Verdana"/>
      <family val="2"/>
      <scheme val="major"/>
    </font>
    <font>
      <sz val="10"/>
      <color rgb="FF1D477C"/>
      <name val="Verdana"/>
      <family val="2"/>
    </font>
    <font>
      <sz val="11"/>
      <color rgb="FF0058B1"/>
      <name val="Verdana"/>
      <family val="2"/>
    </font>
    <font>
      <sz val="11"/>
      <color theme="0"/>
      <name val="Verdana"/>
      <family val="2"/>
    </font>
    <font>
      <b/>
      <sz val="11"/>
      <name val="Verdana"/>
      <family val="2"/>
      <scheme val="minor"/>
    </font>
    <font>
      <sz val="11"/>
      <color theme="4"/>
      <name val="Verdana"/>
      <family val="2"/>
    </font>
    <font>
      <b/>
      <sz val="11"/>
      <color rgb="FF00B0F0"/>
      <name val="Verdana"/>
      <family val="2"/>
    </font>
    <font>
      <b/>
      <sz val="16"/>
      <color rgb="FF1D477C"/>
      <name val="Verdana"/>
      <family val="2"/>
    </font>
    <font>
      <sz val="16"/>
      <color theme="1"/>
      <name val="Verdana"/>
      <family val="2"/>
    </font>
    <font>
      <sz val="14"/>
      <color theme="1"/>
      <name val="Verdana"/>
      <family val="2"/>
      <scheme val="major"/>
    </font>
    <font>
      <b/>
      <sz val="24"/>
      <color rgb="FF0058B1"/>
      <name val="Verdana"/>
      <family val="2"/>
      <scheme val="major"/>
    </font>
    <font>
      <sz val="12"/>
      <name val="Verdana"/>
      <family val="2"/>
      <scheme val="major"/>
    </font>
    <font>
      <b/>
      <sz val="12"/>
      <color rgb="FFFF0000"/>
      <name val="Verdana"/>
      <family val="2"/>
    </font>
    <font>
      <sz val="8"/>
      <color rgb="FFFF0000"/>
      <name val="Verdana"/>
      <family val="2"/>
    </font>
    <font>
      <b/>
      <sz val="8"/>
      <color rgb="FFFF0000"/>
      <name val="Verdana"/>
      <family val="2"/>
    </font>
    <font>
      <sz val="11"/>
      <color theme="0"/>
      <name val="Verdana"/>
      <family val="2"/>
      <scheme val="major"/>
    </font>
    <font>
      <sz val="10"/>
      <name val="Verdana"/>
      <family val="2"/>
      <scheme val="major"/>
    </font>
    <font>
      <sz val="10"/>
      <color theme="1"/>
      <name val="Verdana"/>
      <family val="2"/>
      <scheme val="major"/>
    </font>
    <font>
      <sz val="12"/>
      <color theme="0"/>
      <name val="Verdana"/>
      <family val="2"/>
      <scheme val="major"/>
    </font>
    <font>
      <b/>
      <sz val="8"/>
      <color theme="0"/>
      <name val="Verdana"/>
      <family val="2"/>
    </font>
    <font>
      <b/>
      <i/>
      <sz val="10"/>
      <color rgb="FF0058B1"/>
      <name val="Verdana"/>
      <family val="2"/>
    </font>
    <font>
      <b/>
      <sz val="9"/>
      <color theme="0"/>
      <name val="Verdana"/>
      <family val="2"/>
      <scheme val="minor"/>
    </font>
    <font>
      <b/>
      <sz val="9"/>
      <color rgb="FFFF0000"/>
      <name val="Verdana"/>
      <family val="2"/>
      <scheme val="minor"/>
    </font>
    <font>
      <sz val="9"/>
      <color theme="0"/>
      <name val="Verdana"/>
      <family val="2"/>
    </font>
    <font>
      <sz val="11"/>
      <color rgb="FFFF0000"/>
      <name val="Verdana"/>
      <family val="2"/>
      <scheme val="minor"/>
    </font>
    <font>
      <sz val="9"/>
      <color rgb="FFFF0000"/>
      <name val="Verdana"/>
      <family val="2"/>
      <scheme val="major"/>
    </font>
    <font>
      <sz val="8"/>
      <color rgb="FFFF0000"/>
      <name val="Verdana"/>
      <family val="2"/>
      <scheme val="major"/>
    </font>
    <font>
      <sz val="11"/>
      <color rgb="FFFF0000"/>
      <name val="Verdana"/>
      <family val="2"/>
    </font>
    <font>
      <b/>
      <sz val="12"/>
      <name val="Verdana"/>
      <family val="2"/>
      <scheme val="major"/>
    </font>
    <font>
      <sz val="11"/>
      <color rgb="FF0058B1"/>
      <name val="Verdana"/>
      <family val="2"/>
      <scheme val="minor"/>
    </font>
    <font>
      <b/>
      <sz val="10"/>
      <color rgb="FFFF0000"/>
      <name val="Verdana"/>
      <family val="2"/>
      <scheme val="minor"/>
    </font>
    <font>
      <sz val="10"/>
      <color rgb="FFFF0000"/>
      <name val="Verdana"/>
      <family val="2"/>
      <scheme val="minor"/>
    </font>
    <font>
      <b/>
      <sz val="11"/>
      <color rgb="FF0058B1"/>
      <name val="Verdana"/>
      <family val="2"/>
      <scheme val="major"/>
    </font>
    <font>
      <b/>
      <sz val="12"/>
      <color rgb="FF1D477C"/>
      <name val="Verdana"/>
      <family val="2"/>
      <scheme val="major"/>
    </font>
    <font>
      <sz val="12"/>
      <color theme="1"/>
      <name val="Verdana"/>
      <family val="2"/>
      <scheme val="major"/>
    </font>
    <font>
      <b/>
      <sz val="14"/>
      <color rgb="FF1D477C"/>
      <name val="Verdana"/>
      <family val="2"/>
      <scheme val="major"/>
    </font>
    <font>
      <sz val="14"/>
      <color theme="1"/>
      <name val="Verdana"/>
      <family val="2"/>
      <scheme val="minor"/>
    </font>
    <font>
      <sz val="9"/>
      <color rgb="FF0058B1"/>
      <name val="Verdana"/>
      <family val="2"/>
      <scheme val="minor"/>
    </font>
    <font>
      <sz val="9"/>
      <color rgb="FF1D477C"/>
      <name val="Verdana"/>
      <family val="2"/>
      <scheme val="minor"/>
    </font>
    <font>
      <b/>
      <sz val="9"/>
      <color rgb="FFFF0000"/>
      <name val="Verdana"/>
    </font>
    <font>
      <i/>
      <sz val="9"/>
      <color theme="0"/>
      <name val="Verdana"/>
      <family val="2"/>
    </font>
    <font>
      <i/>
      <sz val="9"/>
      <color theme="0"/>
      <name val="Verdana"/>
      <family val="2"/>
      <scheme val="minor"/>
    </font>
    <font>
      <i/>
      <sz val="10"/>
      <color theme="1"/>
      <name val="Verdana"/>
      <family val="2"/>
      <scheme val="minor"/>
    </font>
    <font>
      <sz val="9"/>
      <color theme="0"/>
      <name val="Verdana"/>
      <family val="2"/>
      <scheme val="minor"/>
    </font>
  </fonts>
  <fills count="16">
    <fill>
      <patternFill patternType="none"/>
    </fill>
    <fill>
      <patternFill patternType="gray125"/>
    </fill>
    <fill>
      <patternFill patternType="solid">
        <fgColor theme="2"/>
        <bgColor indexed="64"/>
      </patternFill>
    </fill>
    <fill>
      <patternFill patternType="solid">
        <fgColor rgb="FFD6E4F2"/>
        <bgColor indexed="64"/>
      </patternFill>
    </fill>
    <fill>
      <patternFill patternType="solid">
        <fgColor rgb="FFFFFF00"/>
        <bgColor indexed="64"/>
      </patternFill>
    </fill>
    <fill>
      <patternFill patternType="solid">
        <fgColor rgb="FFFDECE3"/>
        <bgColor indexed="64"/>
      </patternFill>
    </fill>
    <fill>
      <patternFill patternType="solid">
        <fgColor rgb="FF0058B1"/>
        <bgColor indexed="64"/>
      </patternFill>
    </fill>
    <fill>
      <patternFill patternType="solid">
        <fgColor rgb="FFFF0000"/>
        <bgColor indexed="64"/>
      </patternFill>
    </fill>
    <fill>
      <patternFill patternType="solid">
        <fgColor rgb="FFFFC000"/>
        <bgColor indexed="64"/>
      </patternFill>
    </fill>
    <fill>
      <patternFill patternType="solid">
        <fgColor rgb="FFE7F3FF"/>
        <bgColor indexed="64"/>
      </patternFill>
    </fill>
    <fill>
      <patternFill patternType="solid">
        <fgColor rgb="FF1272BD"/>
        <bgColor indexed="64"/>
      </patternFill>
    </fill>
    <fill>
      <patternFill patternType="solid">
        <fgColor rgb="FF70359D"/>
        <bgColor indexed="64"/>
      </patternFill>
    </fill>
    <fill>
      <patternFill patternType="solid">
        <fgColor rgb="FFFEFD38"/>
        <bgColor indexed="64"/>
      </patternFill>
    </fill>
    <fill>
      <patternFill patternType="solid">
        <fgColor rgb="FFFC101B"/>
        <bgColor indexed="64"/>
      </patternFill>
    </fill>
    <fill>
      <patternFill patternType="solid">
        <fgColor rgb="FF19AE55"/>
        <bgColor indexed="64"/>
      </patternFill>
    </fill>
    <fill>
      <patternFill patternType="solid">
        <fgColor theme="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tted">
        <color indexed="64"/>
      </bottom>
      <diagonal/>
    </border>
    <border>
      <left style="thin">
        <color indexed="64"/>
      </left>
      <right style="thin">
        <color auto="1"/>
      </right>
      <top style="thin">
        <color indexed="64"/>
      </top>
      <bottom style="dotted">
        <color indexed="64"/>
      </bottom>
      <diagonal/>
    </border>
    <border>
      <left style="thin">
        <color auto="1"/>
      </left>
      <right/>
      <top style="dotted">
        <color indexed="64"/>
      </top>
      <bottom style="dotted">
        <color indexed="64"/>
      </bottom>
      <diagonal/>
    </border>
    <border>
      <left/>
      <right/>
      <top style="dotted">
        <color auto="1"/>
      </top>
      <bottom style="dotted">
        <color auto="1"/>
      </bottom>
      <diagonal/>
    </border>
    <border>
      <left style="thin">
        <color indexed="64"/>
      </left>
      <right style="thin">
        <color auto="1"/>
      </right>
      <top style="dotted">
        <color indexed="64"/>
      </top>
      <bottom style="dotted">
        <color indexed="64"/>
      </bottom>
      <diagonal/>
    </border>
    <border>
      <left/>
      <right/>
      <top style="dotted">
        <color auto="1"/>
      </top>
      <bottom/>
      <diagonal/>
    </border>
    <border>
      <left style="thin">
        <color indexed="64"/>
      </left>
      <right style="thin">
        <color auto="1"/>
      </right>
      <top style="dotted">
        <color indexed="64"/>
      </top>
      <bottom style="thin">
        <color auto="1"/>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thin">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right/>
      <top/>
      <bottom style="thin">
        <color rgb="FF0058B1"/>
      </bottom>
      <diagonal/>
    </border>
    <border>
      <left/>
      <right/>
      <top/>
      <bottom style="medium">
        <color rgb="FF0058B1"/>
      </bottom>
      <diagonal/>
    </border>
    <border>
      <left/>
      <right style="medium">
        <color indexed="64"/>
      </right>
      <top style="medium">
        <color indexed="64"/>
      </top>
      <bottom style="medium">
        <color theme="1"/>
      </bottom>
      <diagonal/>
    </border>
    <border>
      <left/>
      <right/>
      <top style="thin">
        <color rgb="FF0058B1"/>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indexed="64"/>
      </top>
      <bottom/>
      <diagonal/>
    </border>
    <border>
      <left style="dashed">
        <color indexed="64"/>
      </left>
      <right style="thin">
        <color indexed="64"/>
      </right>
      <top/>
      <bottom/>
      <diagonal/>
    </border>
    <border>
      <left/>
      <right/>
      <top/>
      <bottom style="medium">
        <color indexed="64"/>
      </bottom>
      <diagonal/>
    </border>
    <border>
      <left/>
      <right style="dotted">
        <color indexed="64"/>
      </right>
      <top style="dotted">
        <color indexed="64"/>
      </top>
      <bottom style="dotted">
        <color indexed="64"/>
      </bottom>
      <diagonal/>
    </border>
    <border>
      <left/>
      <right/>
      <top/>
      <bottom style="medium">
        <color rgb="FF026273"/>
      </bottom>
      <diagonal/>
    </border>
    <border>
      <left/>
      <right/>
      <top/>
      <bottom style="thin">
        <color theme="1"/>
      </bottom>
      <diagonal/>
    </border>
    <border>
      <left/>
      <right/>
      <top style="medium">
        <color rgb="FF0058B1"/>
      </top>
      <bottom style="thin">
        <color auto="1"/>
      </bottom>
      <diagonal/>
    </border>
    <border>
      <left/>
      <right style="medium">
        <color indexed="64"/>
      </right>
      <top/>
      <bottom/>
      <diagonal/>
    </border>
    <border>
      <left/>
      <right style="medium">
        <color auto="1"/>
      </right>
      <top/>
      <bottom style="thin">
        <color indexed="64"/>
      </bottom>
      <diagonal/>
    </border>
    <border>
      <left style="medium">
        <color auto="1"/>
      </left>
      <right/>
      <top/>
      <bottom style="thin">
        <color indexed="64"/>
      </bottom>
      <diagonal/>
    </border>
    <border>
      <left style="dashed">
        <color indexed="64"/>
      </left>
      <right style="thin">
        <color indexed="64"/>
      </right>
      <top/>
      <bottom style="thin">
        <color indexed="64"/>
      </bottom>
      <diagonal/>
    </border>
    <border>
      <left style="medium">
        <color indexed="64"/>
      </left>
      <right/>
      <top style="thin">
        <color indexed="64"/>
      </top>
      <bottom/>
      <diagonal/>
    </border>
    <border>
      <left style="dashed">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auto="1"/>
      </left>
      <right style="medium">
        <color indexed="64"/>
      </right>
      <top/>
      <bottom/>
      <diagonal/>
    </border>
    <border>
      <left style="dashed">
        <color auto="1"/>
      </left>
      <right style="medium">
        <color indexed="64"/>
      </right>
      <top style="thin">
        <color indexed="64"/>
      </top>
      <bottom/>
      <diagonal/>
    </border>
    <border>
      <left style="dashed">
        <color auto="1"/>
      </left>
      <right style="medium">
        <color indexed="64"/>
      </right>
      <top/>
      <bottom style="thin">
        <color indexed="64"/>
      </bottom>
      <diagonal/>
    </border>
    <border>
      <left style="medium">
        <color indexed="64"/>
      </left>
      <right/>
      <top/>
      <bottom style="medium">
        <color indexed="64"/>
      </bottom>
      <diagonal/>
    </border>
    <border>
      <left/>
      <right style="medium">
        <color auto="1"/>
      </right>
      <top/>
      <bottom style="medium">
        <color indexed="64"/>
      </bottom>
      <diagonal/>
    </border>
    <border>
      <left style="dashed">
        <color indexed="64"/>
      </left>
      <right style="thin">
        <color indexed="64"/>
      </right>
      <top/>
      <bottom style="medium">
        <color indexed="64"/>
      </bottom>
      <diagonal/>
    </border>
    <border>
      <left style="dashed">
        <color auto="1"/>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theme="1"/>
      </bottom>
      <diagonal/>
    </border>
    <border>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right/>
      <top style="medium">
        <color indexed="64"/>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52" fillId="0" borderId="0"/>
    <xf numFmtId="0" fontId="67" fillId="0" borderId="0" applyNumberFormat="0" applyFill="0" applyBorder="0" applyAlignment="0" applyProtection="0"/>
  </cellStyleXfs>
  <cellXfs count="810">
    <xf numFmtId="0" fontId="0" fillId="0" borderId="0" xfId="0"/>
    <xf numFmtId="0" fontId="10" fillId="0" borderId="0" xfId="0" applyFont="1" applyAlignment="1">
      <alignment wrapText="1"/>
    </xf>
    <xf numFmtId="0" fontId="0" fillId="0" borderId="0" xfId="0" applyAlignment="1">
      <alignment horizontal="left"/>
    </xf>
    <xf numFmtId="0" fontId="15" fillId="0" borderId="0" xfId="0" applyFont="1" applyAlignment="1">
      <alignment vertical="top" wrapText="1"/>
    </xf>
    <xf numFmtId="0" fontId="31" fillId="3" borderId="0" xfId="0" applyFont="1" applyFill="1" applyAlignment="1">
      <alignment horizontal="left" vertical="center"/>
    </xf>
    <xf numFmtId="0" fontId="31" fillId="3" borderId="0" xfId="0" applyFont="1" applyFill="1" applyAlignment="1">
      <alignment horizontal="center" vertical="center"/>
    </xf>
    <xf numFmtId="0" fontId="32" fillId="0" borderId="0" xfId="0" applyFont="1" applyAlignment="1">
      <alignment horizontal="left" vertical="top" wrapText="1"/>
    </xf>
    <xf numFmtId="0" fontId="32" fillId="0" borderId="0" xfId="0" applyFont="1" applyAlignment="1">
      <alignment vertical="top" wrapText="1"/>
    </xf>
    <xf numFmtId="0" fontId="33" fillId="3" borderId="0" xfId="0" applyFont="1" applyFill="1" applyAlignment="1">
      <alignment horizontal="left"/>
    </xf>
    <xf numFmtId="0" fontId="34" fillId="0" borderId="1" xfId="0" applyFont="1" applyBorder="1" applyAlignment="1">
      <alignment wrapText="1"/>
    </xf>
    <xf numFmtId="0" fontId="35" fillId="0" borderId="2" xfId="0" applyFont="1" applyFill="1" applyBorder="1" applyAlignment="1">
      <alignment horizontal="left"/>
    </xf>
    <xf numFmtId="0" fontId="36" fillId="0" borderId="2" xfId="0" applyFont="1" applyFill="1" applyBorder="1" applyAlignment="1">
      <alignment horizontal="left"/>
    </xf>
    <xf numFmtId="0" fontId="37" fillId="0" borderId="2" xfId="0" applyFont="1" applyBorder="1" applyAlignment="1"/>
    <xf numFmtId="0" fontId="38" fillId="0" borderId="3" xfId="0" applyFont="1" applyFill="1" applyBorder="1" applyAlignment="1">
      <alignment horizontal="left" wrapText="1"/>
    </xf>
    <xf numFmtId="0" fontId="34" fillId="0" borderId="0" xfId="0" applyFont="1" applyAlignment="1">
      <alignment wrapText="1"/>
    </xf>
    <xf numFmtId="0" fontId="32" fillId="0" borderId="4" xfId="0" applyFont="1" applyBorder="1" applyAlignment="1">
      <alignment vertical="top" wrapText="1"/>
    </xf>
    <xf numFmtId="0" fontId="32" fillId="0" borderId="6" xfId="0" applyFont="1" applyFill="1" applyBorder="1" applyAlignment="1">
      <alignment horizontal="left" vertical="top" wrapText="1"/>
    </xf>
    <xf numFmtId="0" fontId="41" fillId="0"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0" xfId="0" applyFont="1" applyFill="1" applyBorder="1" applyAlignment="1">
      <alignment vertical="center"/>
    </xf>
    <xf numFmtId="0" fontId="30" fillId="0" borderId="0" xfId="0" applyFont="1" applyFill="1" applyBorder="1" applyAlignment="1">
      <alignment horizontal="right"/>
    </xf>
    <xf numFmtId="0" fontId="43" fillId="3" borderId="0" xfId="0" applyFont="1" applyFill="1" applyBorder="1" applyAlignment="1" applyProtection="1">
      <alignment horizontal="left" vertical="center" wrapText="1"/>
      <protection locked="0"/>
    </xf>
    <xf numFmtId="0" fontId="32" fillId="0" borderId="0" xfId="0" applyFont="1" applyAlignment="1">
      <alignment horizontal="center" vertical="top" wrapText="1"/>
    </xf>
    <xf numFmtId="0" fontId="44" fillId="0" borderId="17" xfId="0" applyFont="1" applyBorder="1" applyAlignment="1">
      <alignment horizontal="center" vertical="center" wrapText="1"/>
    </xf>
    <xf numFmtId="0" fontId="32" fillId="0" borderId="19" xfId="0" applyFont="1" applyBorder="1" applyAlignment="1">
      <alignment horizontal="center" vertical="top" wrapText="1"/>
    </xf>
    <xf numFmtId="0" fontId="43" fillId="3" borderId="0" xfId="0" applyFont="1" applyFill="1" applyBorder="1" applyAlignment="1" applyProtection="1">
      <alignment horizontal="center" vertical="center" wrapText="1"/>
      <protection locked="0"/>
    </xf>
    <xf numFmtId="0" fontId="45" fillId="0" borderId="0" xfId="0" applyFont="1" applyAlignment="1">
      <alignment horizontal="right" vertical="top" wrapText="1"/>
    </xf>
    <xf numFmtId="0" fontId="32" fillId="0" borderId="0" xfId="0" applyFont="1" applyAlignment="1">
      <alignment vertical="center" wrapText="1"/>
    </xf>
    <xf numFmtId="0" fontId="30" fillId="0" borderId="0" xfId="0" applyFont="1" applyFill="1" applyBorder="1" applyAlignment="1">
      <alignment horizontal="left" vertical="top" wrapText="1"/>
    </xf>
    <xf numFmtId="0" fontId="46" fillId="0" borderId="5" xfId="0" applyFont="1" applyBorder="1" applyAlignment="1">
      <alignment horizontal="left" vertical="center" wrapText="1"/>
    </xf>
    <xf numFmtId="0" fontId="40" fillId="0" borderId="0" xfId="0" applyFont="1" applyFill="1" applyBorder="1" applyAlignment="1">
      <alignment horizontal="center" vertical="top"/>
    </xf>
    <xf numFmtId="0" fontId="44" fillId="0" borderId="5" xfId="0" applyFont="1" applyBorder="1" applyAlignment="1">
      <alignment horizontal="center" vertical="center" wrapText="1"/>
    </xf>
    <xf numFmtId="0" fontId="45" fillId="0" borderId="5" xfId="0" applyFont="1" applyBorder="1" applyAlignment="1">
      <alignment horizontal="right" vertical="top" wrapText="1"/>
    </xf>
    <xf numFmtId="0" fontId="32" fillId="0" borderId="5" xfId="0" applyFont="1" applyBorder="1" applyAlignment="1">
      <alignment vertical="top" wrapText="1"/>
    </xf>
    <xf numFmtId="0" fontId="62" fillId="6" borderId="31" xfId="0" applyFont="1" applyFill="1" applyBorder="1" applyAlignment="1">
      <alignment horizontal="center" vertical="center"/>
    </xf>
    <xf numFmtId="0" fontId="0" fillId="0" borderId="0" xfId="0" applyFont="1" applyAlignment="1">
      <alignment horizontal="center"/>
    </xf>
    <xf numFmtId="0" fontId="14" fillId="0" borderId="0" xfId="0" applyFont="1" applyAlignment="1">
      <alignment vertical="top"/>
    </xf>
    <xf numFmtId="9" fontId="13" fillId="0" borderId="0" xfId="1" applyFont="1" applyAlignment="1">
      <alignment horizontal="center"/>
    </xf>
    <xf numFmtId="0" fontId="62" fillId="6" borderId="0" xfId="0" applyFont="1" applyFill="1" applyBorder="1" applyAlignment="1">
      <alignment horizontal="center" vertical="center"/>
    </xf>
    <xf numFmtId="0" fontId="13" fillId="0" borderId="0" xfId="0" applyFont="1" applyAlignment="1">
      <alignment horizontal="center"/>
    </xf>
    <xf numFmtId="0" fontId="15" fillId="0" borderId="0" xfId="0" applyFont="1" applyAlignment="1">
      <alignment wrapText="1"/>
    </xf>
    <xf numFmtId="9" fontId="68" fillId="0" borderId="0" xfId="0" applyNumberFormat="1" applyFont="1" applyFill="1" applyBorder="1" applyAlignment="1">
      <alignment horizontal="center" vertical="center"/>
    </xf>
    <xf numFmtId="0" fontId="68" fillId="9" borderId="0" xfId="0" applyFont="1" applyFill="1" applyBorder="1" applyAlignment="1">
      <alignment horizontal="center" vertical="center"/>
    </xf>
    <xf numFmtId="0" fontId="62" fillId="6" borderId="0" xfId="0" applyFont="1" applyFill="1" applyBorder="1" applyAlignment="1">
      <alignment vertical="center"/>
    </xf>
    <xf numFmtId="0" fontId="52" fillId="0" borderId="0" xfId="0" applyFont="1"/>
    <xf numFmtId="0" fontId="78" fillId="0" borderId="0" xfId="0" applyFont="1"/>
    <xf numFmtId="0" fontId="79" fillId="0" borderId="0" xfId="0" applyFont="1" applyFill="1" applyBorder="1" applyAlignment="1">
      <alignment horizontal="left" vertical="center" wrapText="1"/>
    </xf>
    <xf numFmtId="0" fontId="51" fillId="0" borderId="0" xfId="0" applyFont="1"/>
    <xf numFmtId="0" fontId="74" fillId="0" borderId="0" xfId="0" applyFont="1" applyFill="1" applyBorder="1" applyAlignment="1">
      <alignment horizontal="right"/>
    </xf>
    <xf numFmtId="0" fontId="80" fillId="0" borderId="0" xfId="0" applyFont="1" applyFill="1" applyBorder="1" applyAlignment="1">
      <alignment vertical="top" wrapText="1"/>
    </xf>
    <xf numFmtId="0" fontId="0" fillId="0" borderId="0" xfId="0" applyAlignment="1">
      <alignment horizontal="center"/>
    </xf>
    <xf numFmtId="0" fontId="62" fillId="6" borderId="31" xfId="0" applyFont="1" applyFill="1" applyBorder="1" applyAlignment="1">
      <alignment horizontal="left" vertical="center"/>
    </xf>
    <xf numFmtId="0" fontId="13" fillId="0" borderId="0" xfId="0" applyFont="1"/>
    <xf numFmtId="0" fontId="80" fillId="0" borderId="0" xfId="0" applyFont="1" applyFill="1" applyBorder="1" applyAlignment="1">
      <alignment wrapText="1"/>
    </xf>
    <xf numFmtId="0" fontId="77" fillId="0" borderId="13" xfId="0" applyFont="1" applyFill="1" applyBorder="1" applyAlignment="1" applyProtection="1">
      <alignment horizontal="left" vertical="center" wrapText="1"/>
      <protection locked="0"/>
    </xf>
    <xf numFmtId="0" fontId="45" fillId="3" borderId="0" xfId="0" applyFont="1" applyFill="1" applyAlignment="1">
      <alignment horizontal="left" vertical="center"/>
    </xf>
    <xf numFmtId="0" fontId="42" fillId="0" borderId="4" xfId="0" applyFont="1" applyBorder="1" applyAlignment="1">
      <alignment vertical="top" wrapText="1"/>
    </xf>
    <xf numFmtId="0" fontId="91" fillId="0" borderId="0" xfId="0" applyFont="1" applyFill="1" applyBorder="1" applyAlignment="1">
      <alignment horizontal="center" vertical="top" wrapText="1"/>
    </xf>
    <xf numFmtId="0" fontId="39" fillId="0" borderId="0" xfId="0" applyFont="1" applyFill="1" applyBorder="1" applyAlignment="1">
      <alignment vertical="center"/>
    </xf>
    <xf numFmtId="0" fontId="42" fillId="0" borderId="6" xfId="0" applyFont="1" applyFill="1" applyBorder="1" applyAlignment="1">
      <alignment horizontal="left" vertical="top" wrapText="1"/>
    </xf>
    <xf numFmtId="0" fontId="42" fillId="0" borderId="4" xfId="0" applyFont="1" applyBorder="1" applyAlignment="1">
      <alignment vertical="center"/>
    </xf>
    <xf numFmtId="0" fontId="42" fillId="0" borderId="6" xfId="0" applyFont="1" applyFill="1" applyBorder="1" applyAlignment="1">
      <alignment horizontal="left" vertical="center"/>
    </xf>
    <xf numFmtId="0" fontId="71" fillId="0" borderId="0" xfId="0" applyFont="1" applyFill="1" applyBorder="1" applyAlignment="1">
      <alignment horizontal="center"/>
    </xf>
    <xf numFmtId="0" fontId="74" fillId="0" borderId="0" xfId="0" applyFont="1" applyBorder="1" applyAlignment="1">
      <alignment horizontal="center" vertical="center"/>
    </xf>
    <xf numFmtId="0" fontId="32" fillId="0" borderId="0" xfId="0" applyFont="1" applyBorder="1" applyAlignment="1">
      <alignment vertical="top" wrapText="1"/>
    </xf>
    <xf numFmtId="0" fontId="34" fillId="0" borderId="2" xfId="0" applyFont="1" applyBorder="1" applyAlignment="1">
      <alignment wrapText="1"/>
    </xf>
    <xf numFmtId="0" fontId="42" fillId="0" borderId="0" xfId="0" applyFont="1" applyBorder="1" applyAlignment="1">
      <alignment vertical="top" wrapText="1"/>
    </xf>
    <xf numFmtId="0" fontId="42" fillId="0" borderId="0" xfId="0" applyFont="1" applyBorder="1" applyAlignment="1">
      <alignment vertical="center"/>
    </xf>
    <xf numFmtId="0" fontId="32" fillId="0" borderId="4" xfId="0" applyFont="1" applyBorder="1" applyAlignment="1">
      <alignment vertical="center" wrapText="1"/>
    </xf>
    <xf numFmtId="0" fontId="100" fillId="0" borderId="0" xfId="0" applyFont="1" applyBorder="1" applyAlignment="1">
      <alignment vertical="center" wrapText="1"/>
    </xf>
    <xf numFmtId="0" fontId="32" fillId="0" borderId="6" xfId="0" applyFont="1" applyFill="1" applyBorder="1" applyAlignment="1">
      <alignment horizontal="left" vertical="center" wrapText="1"/>
    </xf>
    <xf numFmtId="0" fontId="39" fillId="0" borderId="0" xfId="0" applyFont="1" applyFill="1" applyBorder="1" applyAlignment="1"/>
    <xf numFmtId="0" fontId="43" fillId="0" borderId="0" xfId="0" applyFont="1" applyFill="1" applyBorder="1" applyAlignment="1" applyProtection="1">
      <alignment horizontal="left" vertical="center" wrapText="1"/>
      <protection locked="0"/>
    </xf>
    <xf numFmtId="0" fontId="31" fillId="0" borderId="0" xfId="0" applyFont="1" applyFill="1" applyBorder="1" applyAlignment="1">
      <alignment horizontal="left" vertical="center"/>
    </xf>
    <xf numFmtId="0" fontId="33" fillId="0" borderId="0" xfId="0" applyFont="1" applyFill="1" applyBorder="1" applyAlignment="1">
      <alignment horizontal="left"/>
    </xf>
    <xf numFmtId="0" fontId="45" fillId="0" borderId="0" xfId="0" applyFont="1" applyFill="1" applyBorder="1" applyAlignment="1">
      <alignment horizontal="left" vertical="center"/>
    </xf>
    <xf numFmtId="0" fontId="32" fillId="0" borderId="0" xfId="0" applyFont="1" applyFill="1" applyBorder="1" applyAlignment="1">
      <alignment horizontal="center" vertical="top" wrapText="1"/>
    </xf>
    <xf numFmtId="0" fontId="32" fillId="0" borderId="0" xfId="0" applyFont="1" applyAlignment="1">
      <alignment horizontal="center" vertical="center" wrapText="1"/>
    </xf>
    <xf numFmtId="0" fontId="71" fillId="0" borderId="0" xfId="0" applyFont="1" applyFill="1" applyBorder="1" applyAlignment="1">
      <alignment horizontal="center" vertical="center"/>
    </xf>
    <xf numFmtId="0" fontId="34"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9" fillId="0" borderId="0" xfId="0" applyFont="1" applyFill="1" applyBorder="1" applyAlignment="1">
      <alignment horizontal="center" vertical="center"/>
    </xf>
    <xf numFmtId="0" fontId="101"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102" fillId="0" borderId="0" xfId="0" applyFont="1" applyFill="1" applyBorder="1" applyAlignment="1">
      <alignment horizontal="center" vertical="center"/>
    </xf>
    <xf numFmtId="0" fontId="42" fillId="0" borderId="6" xfId="0" applyFont="1" applyFill="1" applyBorder="1" applyAlignment="1">
      <alignment horizontal="left" vertical="center" wrapText="1"/>
    </xf>
    <xf numFmtId="0" fontId="32" fillId="0" borderId="0" xfId="0" applyFont="1" applyFill="1" applyAlignment="1">
      <alignment vertical="top" wrapText="1"/>
    </xf>
    <xf numFmtId="0" fontId="32" fillId="0" borderId="0" xfId="0" applyFont="1" applyFill="1" applyAlignment="1">
      <alignment horizontal="center" vertical="center"/>
    </xf>
    <xf numFmtId="0" fontId="32" fillId="0" borderId="0" xfId="0" applyFont="1" applyFill="1" applyAlignment="1">
      <alignment horizontal="left" vertical="center"/>
    </xf>
    <xf numFmtId="0" fontId="106" fillId="0" borderId="0" xfId="0" applyFont="1" applyFill="1" applyBorder="1" applyAlignment="1">
      <alignment horizontal="center" vertical="center"/>
    </xf>
    <xf numFmtId="0" fontId="106" fillId="0" borderId="4" xfId="0" applyFont="1" applyFill="1" applyBorder="1" applyAlignment="1">
      <alignment horizontal="center" vertical="top" wrapText="1"/>
    </xf>
    <xf numFmtId="0" fontId="81" fillId="0" borderId="0" xfId="0" applyFont="1" applyFill="1" applyAlignment="1">
      <alignment horizontal="left" vertical="top"/>
    </xf>
    <xf numFmtId="0" fontId="107" fillId="0" borderId="0" xfId="0" applyFont="1" applyFill="1" applyBorder="1" applyAlignment="1">
      <alignment horizontal="left" vertical="center"/>
    </xf>
    <xf numFmtId="0" fontId="108" fillId="0" borderId="0" xfId="0" applyFont="1" applyFill="1" applyAlignment="1">
      <alignment horizontal="center" vertical="center"/>
    </xf>
    <xf numFmtId="0" fontId="76" fillId="0" borderId="0" xfId="0" applyFont="1" applyAlignment="1">
      <alignment vertical="top" wrapText="1"/>
    </xf>
    <xf numFmtId="0" fontId="76" fillId="0" borderId="0" xfId="0" applyFont="1" applyAlignment="1">
      <alignment horizontal="left" vertical="center" wrapText="1"/>
    </xf>
    <xf numFmtId="0" fontId="76" fillId="0" borderId="0" xfId="0" applyFont="1" applyAlignment="1">
      <alignment horizontal="left" vertical="center"/>
    </xf>
    <xf numFmtId="0" fontId="76" fillId="0" borderId="0" xfId="0" applyFont="1" applyAlignment="1">
      <alignment horizontal="left" vertical="center" wrapText="1" indent="11"/>
    </xf>
    <xf numFmtId="0" fontId="76" fillId="0" borderId="0" xfId="0" applyFont="1" applyAlignment="1">
      <alignment horizontal="left" vertical="center" wrapText="1" indent="15"/>
    </xf>
    <xf numFmtId="0" fontId="109" fillId="0" borderId="0" xfId="0" applyFont="1" applyFill="1" applyBorder="1" applyAlignment="1">
      <alignment horizontal="right" vertical="center"/>
    </xf>
    <xf numFmtId="0" fontId="71" fillId="0" borderId="0" xfId="0" applyFont="1" applyAlignment="1">
      <alignment horizontal="left" vertical="center"/>
    </xf>
    <xf numFmtId="0" fontId="15" fillId="0" borderId="0" xfId="0" applyFont="1" applyFill="1" applyAlignment="1">
      <alignment vertical="top" wrapText="1"/>
    </xf>
    <xf numFmtId="0" fontId="15" fillId="0" borderId="0" xfId="0" applyFont="1" applyFill="1" applyAlignment="1">
      <alignment horizontal="left" vertical="top" wrapText="1"/>
    </xf>
    <xf numFmtId="0" fontId="51" fillId="0" borderId="0" xfId="0" applyFont="1" applyAlignment="1">
      <alignment horizontal="center"/>
    </xf>
    <xf numFmtId="9" fontId="63" fillId="0" borderId="0" xfId="1" applyFont="1" applyFill="1" applyBorder="1" applyAlignment="1">
      <alignment horizontal="center" vertical="top"/>
    </xf>
    <xf numFmtId="0" fontId="47" fillId="0" borderId="0" xfId="0" applyFont="1" applyFill="1" applyBorder="1" applyAlignment="1">
      <alignment vertical="top" wrapText="1"/>
    </xf>
    <xf numFmtId="0" fontId="80" fillId="0" borderId="0" xfId="2" applyFont="1" applyFill="1" applyBorder="1" applyAlignment="1">
      <alignment vertical="top" wrapText="1"/>
    </xf>
    <xf numFmtId="0" fontId="47" fillId="0" borderId="0" xfId="0" applyFont="1" applyFill="1" applyBorder="1" applyAlignment="1">
      <alignment horizontal="left" vertical="top" wrapText="1"/>
    </xf>
    <xf numFmtId="0" fontId="42" fillId="0" borderId="1" xfId="0" applyFont="1" applyBorder="1" applyAlignment="1">
      <alignment vertical="top" wrapText="1"/>
    </xf>
    <xf numFmtId="0" fontId="42" fillId="0" borderId="2" xfId="0" applyFont="1" applyBorder="1" applyAlignment="1">
      <alignment vertical="top" wrapText="1"/>
    </xf>
    <xf numFmtId="0" fontId="39" fillId="0" borderId="2" xfId="0" applyFont="1" applyFill="1" applyBorder="1" applyAlignment="1">
      <alignment vertical="center"/>
    </xf>
    <xf numFmtId="0" fontId="42" fillId="0" borderId="3" xfId="0" applyFont="1" applyFill="1" applyBorder="1" applyAlignment="1">
      <alignment horizontal="left" vertical="top" wrapText="1"/>
    </xf>
    <xf numFmtId="0" fontId="68" fillId="0" borderId="0" xfId="0" applyFont="1" applyBorder="1" applyAlignment="1">
      <alignment vertical="center" wrapText="1"/>
    </xf>
    <xf numFmtId="0" fontId="101" fillId="0" borderId="0" xfId="0" applyFont="1" applyBorder="1" applyAlignment="1">
      <alignment vertical="center" wrapText="1"/>
    </xf>
    <xf numFmtId="0" fontId="68" fillId="0" borderId="0" xfId="0" applyFont="1" applyBorder="1" applyAlignment="1">
      <alignment horizontal="left" vertical="center"/>
    </xf>
    <xf numFmtId="0" fontId="101" fillId="0" borderId="0" xfId="0" applyFont="1" applyBorder="1" applyAlignment="1">
      <alignment horizontal="left" vertical="center"/>
    </xf>
    <xf numFmtId="0" fontId="68" fillId="0" borderId="0" xfId="0" applyFont="1" applyFill="1" applyBorder="1" applyAlignment="1">
      <alignment vertical="center"/>
    </xf>
    <xf numFmtId="0" fontId="101" fillId="0" borderId="0" xfId="0" applyFont="1" applyFill="1" applyBorder="1" applyAlignment="1">
      <alignment vertical="center"/>
    </xf>
    <xf numFmtId="9" fontId="0" fillId="0" borderId="0" xfId="0" applyNumberFormat="1" applyAlignment="1">
      <alignment horizontal="left"/>
    </xf>
    <xf numFmtId="0" fontId="79" fillId="0" borderId="0" xfId="0" applyFont="1" applyFill="1" applyAlignment="1">
      <alignment horizontal="left" vertical="center"/>
    </xf>
    <xf numFmtId="0" fontId="72" fillId="0" borderId="0" xfId="0" applyFont="1" applyFill="1" applyBorder="1" applyAlignment="1">
      <alignment horizontal="left" vertical="center" wrapText="1"/>
    </xf>
    <xf numFmtId="0" fontId="95" fillId="0" borderId="0" xfId="0" applyFont="1" applyFill="1" applyBorder="1" applyAlignment="1">
      <alignment horizontal="left" vertical="center"/>
    </xf>
    <xf numFmtId="0" fontId="116" fillId="0" borderId="0" xfId="0" applyFont="1" applyAlignment="1">
      <alignment vertical="top" wrapText="1"/>
    </xf>
    <xf numFmtId="0" fontId="117" fillId="0" borderId="0" xfId="0" applyFont="1" applyAlignment="1">
      <alignment wrapText="1"/>
    </xf>
    <xf numFmtId="0" fontId="116" fillId="0" borderId="0" xfId="0" applyFont="1" applyAlignment="1">
      <alignment vertical="center" wrapText="1"/>
    </xf>
    <xf numFmtId="0" fontId="116" fillId="0" borderId="0" xfId="0" applyFont="1" applyAlignment="1">
      <alignment horizontal="center" vertical="top" wrapText="1"/>
    </xf>
    <xf numFmtId="0" fontId="64" fillId="0" borderId="0" xfId="0" applyFont="1" applyFill="1" applyBorder="1" applyAlignment="1">
      <alignment horizontal="center" vertical="top"/>
    </xf>
    <xf numFmtId="0" fontId="63" fillId="0" borderId="0" xfId="0" applyFont="1" applyFill="1" applyBorder="1" applyAlignment="1">
      <alignment horizontal="center" vertical="top"/>
    </xf>
    <xf numFmtId="0" fontId="63" fillId="0" borderId="0" xfId="0" applyFont="1" applyFill="1" applyBorder="1" applyAlignment="1">
      <alignment horizontal="left" vertical="top"/>
    </xf>
    <xf numFmtId="0" fontId="109" fillId="0" borderId="0" xfId="0" applyFont="1" applyFill="1" applyBorder="1" applyAlignment="1">
      <alignment horizontal="left" vertical="center"/>
    </xf>
    <xf numFmtId="0" fontId="42" fillId="0" borderId="4" xfId="0" applyFont="1" applyBorder="1" applyAlignment="1">
      <alignment horizontal="left" vertical="top"/>
    </xf>
    <xf numFmtId="0" fontId="42" fillId="0" borderId="0" xfId="0" applyFont="1" applyBorder="1" applyAlignment="1">
      <alignment horizontal="left" vertical="top"/>
    </xf>
    <xf numFmtId="0" fontId="79" fillId="0" borderId="0" xfId="0" applyFont="1" applyFill="1" applyAlignment="1">
      <alignment horizontal="right" vertical="center"/>
    </xf>
    <xf numFmtId="0" fontId="79" fillId="0" borderId="0" xfId="0" applyFont="1" applyFill="1" applyAlignment="1">
      <alignment horizontal="right" vertical="top"/>
    </xf>
    <xf numFmtId="0" fontId="106" fillId="0" borderId="0" xfId="0" applyFont="1" applyFill="1" applyBorder="1" applyAlignment="1">
      <alignment horizontal="right" vertical="center"/>
    </xf>
    <xf numFmtId="0" fontId="106" fillId="0" borderId="4" xfId="0" applyFont="1" applyBorder="1" applyAlignment="1">
      <alignment horizontal="left" vertical="center" wrapText="1"/>
    </xf>
    <xf numFmtId="0" fontId="106" fillId="0" borderId="4" xfId="0" applyFont="1" applyBorder="1" applyAlignment="1">
      <alignment horizontal="left" vertical="center"/>
    </xf>
    <xf numFmtId="0" fontId="106" fillId="0" borderId="0" xfId="0" applyFont="1" applyBorder="1" applyAlignment="1">
      <alignment horizontal="left" vertical="center"/>
    </xf>
    <xf numFmtId="0" fontId="106" fillId="0" borderId="0" xfId="0" applyFont="1" applyBorder="1" applyAlignment="1">
      <alignment horizontal="left" vertical="center" wrapText="1"/>
    </xf>
    <xf numFmtId="0" fontId="119" fillId="0" borderId="5" xfId="0" applyFont="1" applyFill="1" applyBorder="1" applyAlignment="1">
      <alignment horizontal="left" vertical="center"/>
    </xf>
    <xf numFmtId="0" fontId="119" fillId="0" borderId="5" xfId="0" applyFont="1" applyFill="1" applyBorder="1" applyAlignment="1">
      <alignment horizontal="center" vertical="center"/>
    </xf>
    <xf numFmtId="0" fontId="120" fillId="0" borderId="0" xfId="0" applyFont="1" applyFill="1" applyAlignment="1">
      <alignment horizontal="left"/>
    </xf>
    <xf numFmtId="0" fontId="113" fillId="0" borderId="0" xfId="0" applyFont="1" applyFill="1" applyBorder="1" applyAlignment="1">
      <alignment horizontal="center" vertical="top"/>
    </xf>
    <xf numFmtId="0" fontId="121" fillId="0" borderId="0" xfId="0" applyFont="1" applyFill="1" applyBorder="1" applyAlignment="1">
      <alignment horizontal="center" vertical="top"/>
    </xf>
    <xf numFmtId="0" fontId="122" fillId="0" borderId="0" xfId="0" applyFont="1" applyFill="1" applyBorder="1" applyAlignment="1">
      <alignment horizontal="left" vertical="top"/>
    </xf>
    <xf numFmtId="9" fontId="64" fillId="4" borderId="0" xfId="1" applyFont="1" applyFill="1" applyBorder="1" applyAlignment="1">
      <alignment horizontal="center" vertical="top"/>
    </xf>
    <xf numFmtId="0" fontId="112" fillId="6" borderId="0" xfId="0" applyFont="1" applyFill="1" applyBorder="1" applyAlignment="1">
      <alignment horizontal="center" vertical="center"/>
    </xf>
    <xf numFmtId="0" fontId="123" fillId="0" borderId="0" xfId="0" applyFont="1" applyFill="1" applyBorder="1" applyAlignment="1">
      <alignment horizontal="left" vertical="center"/>
    </xf>
    <xf numFmtId="0" fontId="124" fillId="3" borderId="0" xfId="0" applyFont="1" applyFill="1" applyAlignment="1">
      <alignment horizontal="left" vertical="center"/>
    </xf>
    <xf numFmtId="0" fontId="52" fillId="0" borderId="0" xfId="0" applyFont="1" applyAlignment="1">
      <alignment vertical="center"/>
    </xf>
    <xf numFmtId="0" fontId="126" fillId="3" borderId="0" xfId="0" applyFont="1" applyFill="1" applyAlignment="1">
      <alignment horizontal="left" vertical="center"/>
    </xf>
    <xf numFmtId="0" fontId="127" fillId="0" borderId="0" xfId="0" applyFont="1"/>
    <xf numFmtId="0" fontId="34" fillId="15" borderId="1" xfId="0" applyFont="1" applyFill="1" applyBorder="1" applyAlignment="1">
      <alignment wrapText="1"/>
    </xf>
    <xf numFmtId="0" fontId="34" fillId="15" borderId="2" xfId="0" applyFont="1" applyFill="1" applyBorder="1" applyAlignment="1">
      <alignment wrapText="1"/>
    </xf>
    <xf numFmtId="0" fontId="38" fillId="15" borderId="3" xfId="0" applyFont="1" applyFill="1" applyBorder="1" applyAlignment="1">
      <alignment horizontal="left" wrapText="1"/>
    </xf>
    <xf numFmtId="0" fontId="32" fillId="15" borderId="4" xfId="0" applyFont="1" applyFill="1" applyBorder="1" applyAlignment="1">
      <alignment vertical="top" wrapText="1"/>
    </xf>
    <xf numFmtId="0" fontId="32" fillId="15" borderId="0" xfId="0" applyFont="1" applyFill="1" applyAlignment="1">
      <alignment vertical="top" wrapText="1"/>
    </xf>
    <xf numFmtId="0" fontId="68" fillId="15" borderId="0" xfId="0" applyFont="1" applyFill="1" applyBorder="1" applyAlignment="1">
      <alignment vertical="center"/>
    </xf>
    <xf numFmtId="0" fontId="52" fillId="15" borderId="0" xfId="0" applyFont="1" applyFill="1"/>
    <xf numFmtId="0" fontId="78" fillId="15" borderId="0" xfId="0" applyFont="1" applyFill="1"/>
    <xf numFmtId="0" fontId="42" fillId="15" borderId="6" xfId="0" applyFont="1" applyFill="1" applyBorder="1" applyAlignment="1">
      <alignment horizontal="left" vertical="center"/>
    </xf>
    <xf numFmtId="0" fontId="101" fillId="15" borderId="0" xfId="0" applyFont="1" applyFill="1" applyBorder="1" applyAlignment="1">
      <alignment horizontal="left" vertical="center"/>
    </xf>
    <xf numFmtId="0" fontId="123" fillId="15" borderId="0" xfId="0" applyFont="1" applyFill="1" applyBorder="1" applyAlignment="1">
      <alignment horizontal="left" vertical="center"/>
    </xf>
    <xf numFmtId="0" fontId="32" fillId="15" borderId="19" xfId="0" applyFont="1" applyFill="1" applyBorder="1" applyAlignment="1">
      <alignment horizontal="center" vertical="top" wrapText="1"/>
    </xf>
    <xf numFmtId="0" fontId="44" fillId="15" borderId="17" xfId="0" applyFont="1" applyFill="1" applyBorder="1" applyAlignment="1">
      <alignment horizontal="center" vertical="center" wrapText="1"/>
    </xf>
    <xf numFmtId="0" fontId="44" fillId="15" borderId="5" xfId="0" applyFont="1" applyFill="1" applyBorder="1" applyAlignment="1">
      <alignment horizontal="center" vertical="center" wrapText="1"/>
    </xf>
    <xf numFmtId="0" fontId="100" fillId="15" borderId="4" xfId="0" applyFont="1" applyFill="1" applyBorder="1" applyAlignment="1">
      <alignment vertical="top" wrapText="1"/>
    </xf>
    <xf numFmtId="0" fontId="127" fillId="15" borderId="0" xfId="0" applyFont="1" applyFill="1"/>
    <xf numFmtId="0" fontId="125" fillId="15" borderId="4" xfId="0" applyFont="1" applyFill="1" applyBorder="1" applyAlignment="1">
      <alignment vertical="center" wrapText="1"/>
    </xf>
    <xf numFmtId="0" fontId="52" fillId="15" borderId="0" xfId="0" applyFont="1" applyFill="1" applyAlignment="1">
      <alignment vertical="center"/>
    </xf>
    <xf numFmtId="0" fontId="0" fillId="15" borderId="0" xfId="0" applyFill="1"/>
    <xf numFmtId="0" fontId="32" fillId="15" borderId="0" xfId="0" applyFont="1" applyFill="1" applyBorder="1" applyAlignment="1">
      <alignment vertical="top" wrapText="1"/>
    </xf>
    <xf numFmtId="0" fontId="63" fillId="15" borderId="0" xfId="0" applyFont="1" applyFill="1" applyAlignment="1">
      <alignment horizontal="center" vertical="top"/>
    </xf>
    <xf numFmtId="0" fontId="63" fillId="15" borderId="0" xfId="0" applyFont="1" applyFill="1" applyAlignment="1">
      <alignment vertical="top" wrapText="1"/>
    </xf>
    <xf numFmtId="0" fontId="63" fillId="3" borderId="0" xfId="0" applyFont="1" applyFill="1" applyAlignment="1">
      <alignment vertical="center"/>
    </xf>
    <xf numFmtId="0" fontId="63" fillId="3" borderId="0" xfId="0" applyFont="1" applyFill="1" applyAlignment="1">
      <alignment horizontal="left" vertical="center" wrapText="1"/>
    </xf>
    <xf numFmtId="0" fontId="63" fillId="15" borderId="2" xfId="0" applyFont="1" applyFill="1" applyBorder="1" applyAlignment="1">
      <alignment horizontal="center" vertical="top"/>
    </xf>
    <xf numFmtId="0" fontId="63" fillId="15" borderId="2" xfId="0" applyFont="1" applyFill="1" applyBorder="1" applyAlignment="1">
      <alignment vertical="top" wrapText="1"/>
    </xf>
    <xf numFmtId="0" fontId="63" fillId="3" borderId="2" xfId="0" applyFont="1" applyFill="1" applyBorder="1" applyAlignment="1">
      <alignment vertical="center"/>
    </xf>
    <xf numFmtId="0" fontId="63" fillId="3" borderId="2" xfId="0" applyFont="1" applyFill="1" applyBorder="1" applyAlignment="1">
      <alignment horizontal="left" vertical="center" wrapText="1"/>
    </xf>
    <xf numFmtId="0" fontId="63" fillId="15" borderId="0" xfId="0" applyFont="1" applyFill="1" applyBorder="1" applyAlignment="1">
      <alignment horizontal="center" vertical="top"/>
    </xf>
    <xf numFmtId="0" fontId="63" fillId="15" borderId="0" xfId="0" applyFont="1" applyFill="1" applyBorder="1" applyAlignment="1">
      <alignment vertical="top" wrapText="1"/>
    </xf>
    <xf numFmtId="0" fontId="63" fillId="3" borderId="0" xfId="0" applyFont="1" applyFill="1" applyBorder="1" applyAlignment="1">
      <alignment vertical="center"/>
    </xf>
    <xf numFmtId="0" fontId="63" fillId="3" borderId="0" xfId="0" applyFont="1" applyFill="1" applyBorder="1" applyAlignment="1">
      <alignment horizontal="left" vertical="center" wrapText="1"/>
    </xf>
    <xf numFmtId="0" fontId="63" fillId="15" borderId="5" xfId="0" applyFont="1" applyFill="1" applyBorder="1" applyAlignment="1">
      <alignment horizontal="center" vertical="top"/>
    </xf>
    <xf numFmtId="0" fontId="63" fillId="15" borderId="5" xfId="0" applyFont="1" applyFill="1" applyBorder="1" applyAlignment="1">
      <alignment vertical="top" wrapText="1"/>
    </xf>
    <xf numFmtId="0" fontId="63" fillId="3" borderId="5" xfId="0" applyFont="1" applyFill="1" applyBorder="1" applyAlignment="1">
      <alignment vertical="center"/>
    </xf>
    <xf numFmtId="0" fontId="63" fillId="3" borderId="5" xfId="0" applyFont="1" applyFill="1" applyBorder="1" applyAlignment="1">
      <alignment horizontal="left" vertical="center" wrapText="1"/>
    </xf>
    <xf numFmtId="1" fontId="63" fillId="15" borderId="44" xfId="0" applyNumberFormat="1" applyFont="1" applyFill="1" applyBorder="1" applyAlignment="1">
      <alignment horizontal="center" vertical="center"/>
    </xf>
    <xf numFmtId="1" fontId="63" fillId="15" borderId="61" xfId="0" applyNumberFormat="1" applyFont="1" applyFill="1" applyBorder="1" applyAlignment="1">
      <alignment horizontal="center" vertical="center"/>
    </xf>
    <xf numFmtId="1" fontId="63" fillId="15" borderId="45" xfId="0" applyNumberFormat="1" applyFont="1" applyFill="1" applyBorder="1" applyAlignment="1">
      <alignment horizontal="center" vertical="center"/>
    </xf>
    <xf numFmtId="1" fontId="63" fillId="15" borderId="58" xfId="0" applyNumberFormat="1" applyFont="1" applyFill="1" applyBorder="1" applyAlignment="1">
      <alignment horizontal="center" vertical="center"/>
    </xf>
    <xf numFmtId="9" fontId="63" fillId="15" borderId="33" xfId="0" applyNumberFormat="1" applyFont="1" applyFill="1" applyBorder="1" applyAlignment="1">
      <alignment horizontal="center" vertical="center"/>
    </xf>
    <xf numFmtId="9" fontId="63" fillId="15" borderId="0" xfId="0" applyNumberFormat="1" applyFont="1" applyFill="1" applyBorder="1" applyAlignment="1">
      <alignment horizontal="center" vertical="center"/>
    </xf>
    <xf numFmtId="0" fontId="63" fillId="15" borderId="38" xfId="0" applyNumberFormat="1" applyFont="1" applyFill="1" applyBorder="1" applyAlignment="1">
      <alignment horizontal="center" vertical="center"/>
    </xf>
    <xf numFmtId="1" fontId="63" fillId="15" borderId="38" xfId="0" applyNumberFormat="1" applyFont="1" applyFill="1" applyBorder="1" applyAlignment="1">
      <alignment horizontal="center" vertical="center"/>
    </xf>
    <xf numFmtId="1" fontId="63" fillId="15" borderId="54" xfId="0" applyNumberFormat="1" applyFont="1" applyFill="1" applyBorder="1" applyAlignment="1">
      <alignment horizontal="center" vertical="center"/>
    </xf>
    <xf numFmtId="9" fontId="63" fillId="15" borderId="48" xfId="0" applyNumberFormat="1" applyFont="1" applyFill="1" applyBorder="1" applyAlignment="1">
      <alignment horizontal="center" vertical="center"/>
    </xf>
    <xf numFmtId="9" fontId="63" fillId="15" borderId="2" xfId="0" applyNumberFormat="1" applyFont="1" applyFill="1" applyBorder="1" applyAlignment="1">
      <alignment horizontal="center" vertical="center"/>
    </xf>
    <xf numFmtId="0" fontId="63" fillId="15" borderId="49" xfId="0" applyNumberFormat="1" applyFont="1" applyFill="1" applyBorder="1" applyAlignment="1">
      <alignment horizontal="center" vertical="center"/>
    </xf>
    <xf numFmtId="1" fontId="63" fillId="15" borderId="49" xfId="0" applyNumberFormat="1" applyFont="1" applyFill="1" applyBorder="1" applyAlignment="1">
      <alignment horizontal="center" vertical="center"/>
    </xf>
    <xf numFmtId="1" fontId="63" fillId="15" borderId="55" xfId="0" applyNumberFormat="1" applyFont="1" applyFill="1" applyBorder="1" applyAlignment="1">
      <alignment horizontal="center" vertical="center"/>
    </xf>
    <xf numFmtId="9" fontId="63" fillId="15" borderId="46" xfId="0" applyNumberFormat="1" applyFont="1" applyFill="1" applyBorder="1" applyAlignment="1">
      <alignment horizontal="center" vertical="center"/>
    </xf>
    <xf numFmtId="9" fontId="63" fillId="15" borderId="5" xfId="0" applyNumberFormat="1" applyFont="1" applyFill="1" applyBorder="1" applyAlignment="1">
      <alignment horizontal="center" vertical="center"/>
    </xf>
    <xf numFmtId="0" fontId="63" fillId="15" borderId="47" xfId="0" applyNumberFormat="1" applyFont="1" applyFill="1" applyBorder="1" applyAlignment="1">
      <alignment horizontal="center" vertical="center"/>
    </xf>
    <xf numFmtId="1" fontId="63" fillId="15" borderId="47" xfId="0" applyNumberFormat="1" applyFont="1" applyFill="1" applyBorder="1" applyAlignment="1">
      <alignment horizontal="center" vertical="center"/>
    </xf>
    <xf numFmtId="1" fontId="63" fillId="15" borderId="56" xfId="0" applyNumberFormat="1" applyFont="1" applyFill="1" applyBorder="1" applyAlignment="1">
      <alignment horizontal="center" vertical="center"/>
    </xf>
    <xf numFmtId="9" fontId="63" fillId="15" borderId="57" xfId="0" applyNumberFormat="1" applyFont="1" applyFill="1" applyBorder="1" applyAlignment="1">
      <alignment horizontal="center" vertical="center"/>
    </xf>
    <xf numFmtId="9" fontId="63" fillId="15" borderId="39" xfId="0" applyNumberFormat="1" applyFont="1" applyFill="1" applyBorder="1" applyAlignment="1">
      <alignment horizontal="center" vertical="center"/>
    </xf>
    <xf numFmtId="0" fontId="63" fillId="15" borderId="59" xfId="0" applyNumberFormat="1" applyFont="1" applyFill="1" applyBorder="1" applyAlignment="1">
      <alignment horizontal="center" vertical="center"/>
    </xf>
    <xf numFmtId="1" fontId="63" fillId="15" borderId="59" xfId="0" applyNumberFormat="1" applyFont="1" applyFill="1" applyBorder="1" applyAlignment="1">
      <alignment horizontal="center" vertical="center"/>
    </xf>
    <xf numFmtId="1" fontId="63" fillId="15" borderId="60" xfId="0" applyNumberFormat="1" applyFont="1" applyFill="1" applyBorder="1" applyAlignment="1">
      <alignment horizontal="center" vertical="center"/>
    </xf>
    <xf numFmtId="0" fontId="63" fillId="15" borderId="1" xfId="0" applyFont="1" applyFill="1" applyBorder="1" applyAlignment="1">
      <alignment horizontal="center" vertical="top"/>
    </xf>
    <xf numFmtId="0" fontId="63" fillId="15" borderId="4" xfId="0" applyFont="1" applyFill="1" applyBorder="1" applyAlignment="1">
      <alignment horizontal="center" vertical="top"/>
    </xf>
    <xf numFmtId="0" fontId="63" fillId="15" borderId="17" xfId="0" applyFont="1" applyFill="1" applyBorder="1" applyAlignment="1">
      <alignment horizontal="center" vertical="top"/>
    </xf>
    <xf numFmtId="0" fontId="112" fillId="6" borderId="31" xfId="0" applyFont="1" applyFill="1" applyBorder="1" applyAlignment="1">
      <alignment horizontal="left" vertical="center"/>
    </xf>
    <xf numFmtId="0" fontId="112" fillId="6" borderId="31" xfId="0" applyFont="1" applyFill="1" applyBorder="1" applyAlignment="1">
      <alignment horizontal="center" vertical="center"/>
    </xf>
    <xf numFmtId="0" fontId="13" fillId="0" borderId="0" xfId="0" applyFont="1" applyFill="1" applyBorder="1" applyAlignment="1">
      <alignment horizontal="center" vertical="top"/>
    </xf>
    <xf numFmtId="0" fontId="112" fillId="6" borderId="62" xfId="0" applyFont="1" applyFill="1" applyBorder="1" applyAlignment="1">
      <alignment horizontal="left" vertical="center"/>
    </xf>
    <xf numFmtId="0" fontId="112" fillId="6" borderId="63" xfId="0" applyFont="1" applyFill="1" applyBorder="1" applyAlignment="1">
      <alignment horizontal="left" vertical="center"/>
    </xf>
    <xf numFmtId="0" fontId="112" fillId="6" borderId="63" xfId="0" applyFont="1" applyFill="1" applyBorder="1" applyAlignment="1">
      <alignment horizontal="center" vertical="center"/>
    </xf>
    <xf numFmtId="0" fontId="112" fillId="6" borderId="64" xfId="0" applyFont="1" applyFill="1" applyBorder="1" applyAlignment="1">
      <alignment horizontal="center" vertical="center"/>
    </xf>
    <xf numFmtId="0" fontId="128" fillId="0" borderId="0" xfId="0" applyFont="1" applyAlignment="1">
      <alignment horizontal="left"/>
    </xf>
    <xf numFmtId="0" fontId="112" fillId="6" borderId="0" xfId="0" applyFont="1" applyFill="1" applyBorder="1" applyAlignment="1">
      <alignment vertical="center"/>
    </xf>
    <xf numFmtId="0" fontId="14" fillId="0" borderId="20" xfId="0" applyFont="1" applyFill="1" applyBorder="1" applyAlignment="1">
      <alignment horizontal="center" vertical="top"/>
    </xf>
    <xf numFmtId="0" fontId="14" fillId="0" borderId="0" xfId="0" applyFont="1" applyFill="1" applyBorder="1" applyAlignment="1">
      <alignment horizontal="center" vertical="top"/>
    </xf>
    <xf numFmtId="0" fontId="15" fillId="0" borderId="4" xfId="0" applyFont="1" applyBorder="1" applyAlignment="1">
      <alignment wrapText="1"/>
    </xf>
    <xf numFmtId="0" fontId="15" fillId="0" borderId="0" xfId="0" applyFont="1" applyBorder="1" applyAlignment="1">
      <alignment wrapText="1"/>
    </xf>
    <xf numFmtId="0" fontId="13" fillId="0" borderId="6" xfId="0" applyFont="1" applyFill="1" applyBorder="1" applyAlignment="1">
      <alignment horizontal="center" vertical="top"/>
    </xf>
    <xf numFmtId="0" fontId="129" fillId="0" borderId="0" xfId="0" applyFont="1" applyAlignment="1">
      <alignment horizontal="left" vertical="top" wrapText="1"/>
    </xf>
    <xf numFmtId="0" fontId="13" fillId="0" borderId="20" xfId="0" applyFont="1" applyFill="1" applyBorder="1" applyAlignment="1">
      <alignment horizontal="center" vertical="top"/>
    </xf>
    <xf numFmtId="0" fontId="112" fillId="6" borderId="4" xfId="0" applyFont="1" applyFill="1" applyBorder="1" applyAlignment="1">
      <alignment vertical="center"/>
    </xf>
    <xf numFmtId="0" fontId="13" fillId="0" borderId="0" xfId="0" applyFont="1" applyFill="1" applyBorder="1" applyAlignment="1">
      <alignment horizontal="left" vertical="top"/>
    </xf>
    <xf numFmtId="9" fontId="13" fillId="5" borderId="0" xfId="1" applyFont="1" applyFill="1" applyAlignment="1">
      <alignment horizontal="center"/>
    </xf>
    <xf numFmtId="0" fontId="112" fillId="6" borderId="17" xfId="0" applyFont="1" applyFill="1" applyBorder="1" applyAlignment="1">
      <alignment vertical="center"/>
    </xf>
    <xf numFmtId="0" fontId="14" fillId="0" borderId="5" xfId="0" applyFont="1" applyFill="1" applyBorder="1" applyAlignment="1">
      <alignment horizontal="center" vertical="top"/>
    </xf>
    <xf numFmtId="0" fontId="13" fillId="0" borderId="5" xfId="0" applyFont="1" applyFill="1" applyBorder="1" applyAlignment="1">
      <alignment horizontal="center" vertical="top"/>
    </xf>
    <xf numFmtId="0" fontId="13" fillId="0" borderId="19" xfId="0" applyFont="1" applyFill="1" applyBorder="1" applyAlignment="1">
      <alignment horizontal="center" vertical="top"/>
    </xf>
    <xf numFmtId="0" fontId="112" fillId="6" borderId="65" xfId="0" applyFont="1" applyFill="1" applyBorder="1" applyAlignment="1">
      <alignment horizontal="left" vertical="center"/>
    </xf>
    <xf numFmtId="0" fontId="112" fillId="6" borderId="62" xfId="0" applyFont="1" applyFill="1" applyBorder="1" applyAlignment="1">
      <alignment horizontal="center" vertical="center"/>
    </xf>
    <xf numFmtId="0" fontId="13" fillId="0" borderId="4" xfId="0" applyFont="1" applyFill="1" applyBorder="1" applyAlignment="1">
      <alignment horizontal="center" vertical="top"/>
    </xf>
    <xf numFmtId="9" fontId="13" fillId="2" borderId="0" xfId="1" applyFont="1" applyFill="1" applyAlignment="1">
      <alignment horizontal="center"/>
    </xf>
    <xf numFmtId="0" fontId="13" fillId="0" borderId="17" xfId="0" applyFont="1" applyFill="1" applyBorder="1" applyAlignment="1">
      <alignment horizontal="center" vertical="top"/>
    </xf>
    <xf numFmtId="9" fontId="13" fillId="0" borderId="0" xfId="1" applyFont="1" applyFill="1" applyBorder="1" applyAlignment="1">
      <alignment horizontal="center" vertical="top"/>
    </xf>
    <xf numFmtId="0" fontId="13" fillId="0" borderId="0" xfId="0" applyFont="1" applyAlignment="1">
      <alignment horizontal="center" vertical="center"/>
    </xf>
    <xf numFmtId="0" fontId="13" fillId="0" borderId="0" xfId="0" applyFont="1" applyAlignment="1">
      <alignment horizontal="left"/>
    </xf>
    <xf numFmtId="0" fontId="0" fillId="0" borderId="0" xfId="0" applyFont="1" applyAlignment="1">
      <alignment horizontal="left"/>
    </xf>
    <xf numFmtId="0" fontId="0" fillId="0" borderId="0" xfId="0" applyFill="1"/>
    <xf numFmtId="0" fontId="112" fillId="6" borderId="0" xfId="0" applyFont="1" applyFill="1" applyBorder="1" applyAlignment="1">
      <alignment horizontal="left" vertical="center"/>
    </xf>
    <xf numFmtId="0" fontId="14" fillId="0" borderId="0" xfId="0" applyFont="1" applyAlignment="1">
      <alignment horizontal="left" vertical="top"/>
    </xf>
    <xf numFmtId="0" fontId="63" fillId="0" borderId="0" xfId="0" applyFont="1" applyFill="1" applyAlignment="1">
      <alignment horizontal="center"/>
    </xf>
    <xf numFmtId="0" fontId="66" fillId="8" borderId="0" xfId="0" applyFont="1" applyFill="1" applyBorder="1" applyAlignment="1">
      <alignment horizontal="left" vertical="center"/>
    </xf>
    <xf numFmtId="9" fontId="64" fillId="3" borderId="50" xfId="0" applyNumberFormat="1" applyFont="1" applyFill="1" applyBorder="1" applyAlignment="1">
      <alignment horizontal="center" vertical="center" wrapText="1"/>
    </xf>
    <xf numFmtId="1" fontId="64" fillId="3" borderId="52" xfId="0" applyNumberFormat="1" applyFont="1" applyFill="1" applyBorder="1" applyAlignment="1">
      <alignment horizontal="center" vertical="center" wrapText="1"/>
    </xf>
    <xf numFmtId="0" fontId="64" fillId="3" borderId="21" xfId="0" applyFont="1" applyFill="1" applyBorder="1" applyAlignment="1">
      <alignment horizontal="center" vertical="center"/>
    </xf>
    <xf numFmtId="0" fontId="64" fillId="3" borderId="18" xfId="0" applyFont="1" applyFill="1" applyBorder="1" applyAlignment="1">
      <alignment horizontal="center" vertical="center" wrapText="1"/>
    </xf>
    <xf numFmtId="0" fontId="64" fillId="3" borderId="18" xfId="0" applyFont="1" applyFill="1" applyBorder="1" applyAlignment="1">
      <alignment vertical="center" wrapText="1"/>
    </xf>
    <xf numFmtId="0" fontId="80" fillId="0" borderId="0" xfId="0" applyFont="1" applyFill="1" applyBorder="1" applyAlignment="1">
      <alignment horizontal="left" vertical="top" wrapText="1"/>
    </xf>
    <xf numFmtId="0" fontId="80" fillId="0" borderId="0" xfId="0" applyFont="1" applyFill="1"/>
    <xf numFmtId="0" fontId="51" fillId="0" borderId="0" xfId="0" applyFont="1" applyAlignment="1">
      <alignment horizontal="left"/>
    </xf>
    <xf numFmtId="9" fontId="13" fillId="8" borderId="66" xfId="1" applyFont="1" applyFill="1" applyBorder="1" applyAlignment="1">
      <alignment horizontal="center" vertical="top"/>
    </xf>
    <xf numFmtId="0" fontId="95" fillId="0" borderId="0" xfId="0" applyFont="1" applyFill="1" applyAlignment="1">
      <alignment horizontal="center"/>
    </xf>
    <xf numFmtId="0" fontId="95" fillId="0" borderId="0" xfId="0" applyFont="1" applyFill="1"/>
    <xf numFmtId="0" fontId="51" fillId="0" borderId="0" xfId="0" applyFont="1" applyFill="1"/>
    <xf numFmtId="0" fontId="53" fillId="0" borderId="0" xfId="0" applyFont="1" applyFill="1" applyAlignment="1">
      <alignment horizontal="left"/>
    </xf>
    <xf numFmtId="0" fontId="53" fillId="0" borderId="0" xfId="0" applyFont="1" applyFill="1"/>
    <xf numFmtId="0" fontId="53" fillId="0" borderId="0" xfId="0" applyFont="1" applyFill="1" applyAlignment="1">
      <alignment horizontal="center"/>
    </xf>
    <xf numFmtId="0" fontId="14" fillId="0" borderId="0" xfId="0" applyFont="1" applyFill="1" applyAlignment="1">
      <alignment horizontal="left"/>
    </xf>
    <xf numFmtId="0" fontId="14" fillId="0" borderId="0" xfId="0" applyFont="1" applyFill="1"/>
    <xf numFmtId="9" fontId="13" fillId="0" borderId="0" xfId="1"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14" fillId="0" borderId="0" xfId="0" applyFont="1" applyFill="1" applyAlignment="1">
      <alignment horizontal="left" vertical="top"/>
    </xf>
    <xf numFmtId="0" fontId="14" fillId="0" borderId="0" xfId="0" applyFont="1" applyFill="1" applyAlignment="1">
      <alignment vertical="top"/>
    </xf>
    <xf numFmtId="0" fontId="5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0" borderId="5" xfId="0" applyFont="1" applyFill="1" applyBorder="1" applyAlignment="1">
      <alignment horizontal="left" vertical="top"/>
    </xf>
    <xf numFmtId="0" fontId="15" fillId="0" borderId="0" xfId="0" applyFont="1" applyFill="1" applyAlignment="1">
      <alignment horizontal="center" vertical="center" wrapText="1"/>
    </xf>
    <xf numFmtId="0" fontId="13" fillId="0" borderId="0" xfId="0" applyFont="1" applyFill="1"/>
    <xf numFmtId="0" fontId="15" fillId="0" borderId="0" xfId="0" applyFont="1" applyFill="1" applyAlignment="1">
      <alignment wrapText="1"/>
    </xf>
    <xf numFmtId="0" fontId="112" fillId="6" borderId="64" xfId="0" applyFont="1" applyFill="1" applyBorder="1" applyAlignment="1">
      <alignment horizontal="left" vertical="center"/>
    </xf>
    <xf numFmtId="0" fontId="13" fillId="9" borderId="0" xfId="0" applyFont="1" applyFill="1" applyAlignment="1">
      <alignment horizontal="left"/>
    </xf>
    <xf numFmtId="0" fontId="15" fillId="9" borderId="0" xfId="0" applyFont="1" applyFill="1" applyAlignment="1">
      <alignment horizontal="left" wrapText="1"/>
    </xf>
    <xf numFmtId="0" fontId="15" fillId="9" borderId="0" xfId="0" applyFont="1" applyFill="1" applyAlignment="1">
      <alignment horizontal="left" vertical="top" wrapText="1"/>
    </xf>
    <xf numFmtId="0" fontId="69" fillId="0" borderId="0" xfId="0" applyFont="1" applyAlignment="1">
      <alignment horizontal="center" wrapText="1"/>
    </xf>
    <xf numFmtId="0" fontId="131" fillId="0" borderId="0" xfId="0" applyFont="1" applyAlignment="1">
      <alignment vertical="top" wrapText="1"/>
    </xf>
    <xf numFmtId="0" fontId="131" fillId="0" borderId="0" xfId="0" applyFont="1" applyAlignment="1">
      <alignment wrapText="1"/>
    </xf>
    <xf numFmtId="0" fontId="132" fillId="0" borderId="0" xfId="0" applyFont="1"/>
    <xf numFmtId="0" fontId="13" fillId="8" borderId="0" xfId="0" applyFont="1" applyFill="1" applyAlignment="1">
      <alignment horizontal="center"/>
    </xf>
    <xf numFmtId="0" fontId="15" fillId="0" borderId="0" xfId="0" applyFont="1" applyFill="1" applyAlignment="1">
      <alignment horizontal="left" vertical="center" wrapText="1"/>
    </xf>
    <xf numFmtId="0" fontId="15" fillId="0" borderId="0" xfId="0" applyFont="1" applyFill="1" applyAlignment="1">
      <alignment horizontal="left" wrapText="1"/>
    </xf>
    <xf numFmtId="0" fontId="13" fillId="0" borderId="0" xfId="0" applyFont="1" applyAlignment="1">
      <alignment horizontal="left" vertical="center"/>
    </xf>
    <xf numFmtId="0" fontId="62" fillId="6" borderId="0" xfId="0" applyFont="1" applyFill="1" applyBorder="1" applyAlignment="1">
      <alignment horizontal="left" vertical="center"/>
    </xf>
    <xf numFmtId="0" fontId="0" fillId="9" borderId="0" xfId="0" applyFill="1" applyAlignment="1">
      <alignment horizontal="left"/>
    </xf>
    <xf numFmtId="49" fontId="0" fillId="9" borderId="0" xfId="0" applyNumberFormat="1" applyFill="1" applyAlignment="1">
      <alignment horizontal="left"/>
    </xf>
    <xf numFmtId="0" fontId="0" fillId="9" borderId="0" xfId="0" applyFont="1" applyFill="1" applyAlignment="1">
      <alignment horizontal="left"/>
    </xf>
    <xf numFmtId="0" fontId="133" fillId="0" borderId="0" xfId="0" applyFont="1" applyFill="1"/>
    <xf numFmtId="0" fontId="18" fillId="3" borderId="0" xfId="0" applyFont="1" applyFill="1" applyAlignment="1" applyProtection="1">
      <alignment horizontal="left" vertical="center"/>
    </xf>
    <xf numFmtId="0" fontId="18" fillId="3" borderId="0" xfId="0" applyFont="1" applyFill="1" applyAlignment="1" applyProtection="1">
      <alignment horizontal="right" vertical="center"/>
    </xf>
    <xf numFmtId="0" fontId="18" fillId="3" borderId="0" xfId="0" applyFont="1" applyFill="1" applyAlignment="1" applyProtection="1">
      <alignment horizontal="center" vertical="center"/>
    </xf>
    <xf numFmtId="0" fontId="19" fillId="3" borderId="0" xfId="0" applyFont="1" applyFill="1" applyAlignment="1" applyProtection="1">
      <alignment horizontal="left" vertical="center"/>
    </xf>
    <xf numFmtId="0" fontId="15" fillId="0" borderId="0" xfId="0" applyFont="1" applyAlignment="1" applyProtection="1">
      <alignment horizontal="left" vertical="top" wrapText="1"/>
    </xf>
    <xf numFmtId="0" fontId="69" fillId="0" borderId="0" xfId="0" applyFont="1" applyAlignment="1" applyProtection="1">
      <alignment vertical="top" wrapText="1"/>
    </xf>
    <xf numFmtId="0" fontId="15" fillId="0" borderId="0" xfId="0" applyFont="1" applyAlignment="1" applyProtection="1">
      <alignment vertical="top" wrapText="1"/>
    </xf>
    <xf numFmtId="0" fontId="7" fillId="3" borderId="0" xfId="0" applyFont="1" applyFill="1" applyBorder="1" applyAlignment="1" applyProtection="1">
      <alignment horizontal="left"/>
    </xf>
    <xf numFmtId="0" fontId="10" fillId="0" borderId="1" xfId="0" applyFont="1" applyBorder="1" applyAlignment="1" applyProtection="1">
      <alignment wrapText="1"/>
    </xf>
    <xf numFmtId="0" fontId="10" fillId="0" borderId="2" xfId="0" applyFont="1" applyBorder="1" applyAlignment="1" applyProtection="1">
      <alignment horizontal="right" wrapText="1"/>
    </xf>
    <xf numFmtId="0" fontId="10" fillId="0" borderId="2" xfId="0" applyFont="1" applyBorder="1" applyAlignment="1" applyProtection="1">
      <alignment wrapText="1"/>
    </xf>
    <xf numFmtId="0" fontId="4" fillId="0" borderId="2" xfId="0" applyFont="1" applyFill="1" applyBorder="1" applyAlignment="1" applyProtection="1">
      <alignment horizontal="left"/>
    </xf>
    <xf numFmtId="0" fontId="4" fillId="0" borderId="2" xfId="0" applyFont="1" applyFill="1" applyBorder="1" applyAlignment="1" applyProtection="1">
      <alignment horizontal="center"/>
    </xf>
    <xf numFmtId="0" fontId="8" fillId="0" borderId="3" xfId="0" applyFont="1" applyFill="1" applyBorder="1" applyAlignment="1" applyProtection="1">
      <alignment horizontal="left" wrapText="1"/>
    </xf>
    <xf numFmtId="0" fontId="19" fillId="3" borderId="0" xfId="0" applyFont="1" applyFill="1" applyBorder="1" applyAlignment="1" applyProtection="1">
      <alignment horizontal="left" vertical="center"/>
    </xf>
    <xf numFmtId="0" fontId="10" fillId="0" borderId="0" xfId="0" applyFont="1" applyBorder="1" applyAlignment="1" applyProtection="1">
      <alignment horizontal="left" wrapText="1"/>
    </xf>
    <xf numFmtId="0" fontId="104" fillId="0" borderId="0" xfId="0" applyFont="1" applyBorder="1" applyAlignment="1" applyProtection="1">
      <alignment wrapText="1"/>
    </xf>
    <xf numFmtId="0" fontId="10" fillId="0" borderId="0" xfId="0" applyFont="1" applyBorder="1" applyAlignment="1" applyProtection="1">
      <alignment wrapText="1"/>
    </xf>
    <xf numFmtId="0" fontId="10" fillId="0" borderId="4" xfId="0" applyFont="1" applyBorder="1" applyAlignment="1" applyProtection="1">
      <alignment wrapText="1"/>
    </xf>
    <xf numFmtId="0" fontId="59"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60" fillId="0" borderId="0" xfId="0" applyFont="1" applyFill="1" applyBorder="1" applyAlignment="1" applyProtection="1">
      <alignment horizontal="center" vertical="center"/>
    </xf>
    <xf numFmtId="0" fontId="8" fillId="0" borderId="6" xfId="0" applyFont="1" applyFill="1" applyBorder="1" applyAlignment="1" applyProtection="1">
      <alignment horizontal="left" wrapText="1"/>
    </xf>
    <xf numFmtId="0" fontId="54" fillId="0" borderId="0" xfId="0" applyFont="1" applyFill="1" applyBorder="1" applyAlignment="1" applyProtection="1">
      <alignment horizontal="left"/>
    </xf>
    <xf numFmtId="0" fontId="47" fillId="0" borderId="0" xfId="0" applyFont="1" applyBorder="1" applyAlignment="1" applyProtection="1">
      <alignment vertical="center"/>
    </xf>
    <xf numFmtId="0" fontId="15" fillId="0" borderId="4" xfId="0" applyFont="1" applyBorder="1" applyAlignment="1" applyProtection="1">
      <alignment vertical="top" wrapText="1"/>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5" fillId="0" borderId="6" xfId="0" applyFont="1" applyFill="1" applyBorder="1" applyAlignment="1" applyProtection="1">
      <alignment horizontal="left" vertical="top" wrapText="1"/>
    </xf>
    <xf numFmtId="0" fontId="93"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93" fillId="0" borderId="0" xfId="0" applyFont="1" applyFill="1" applyBorder="1" applyAlignment="1" applyProtection="1">
      <alignment horizontal="left" vertical="center" wrapText="1"/>
    </xf>
    <xf numFmtId="0" fontId="9" fillId="3" borderId="0" xfId="0" applyFont="1" applyFill="1" applyAlignment="1" applyProtection="1">
      <alignment horizontal="left"/>
    </xf>
    <xf numFmtId="0" fontId="83" fillId="0" borderId="4" xfId="0" applyFont="1" applyBorder="1" applyAlignment="1" applyProtection="1">
      <alignment wrapText="1"/>
    </xf>
    <xf numFmtId="0" fontId="48" fillId="0" borderId="29" xfId="0" applyFont="1" applyFill="1" applyBorder="1" applyAlignment="1" applyProtection="1">
      <alignment horizontal="right"/>
    </xf>
    <xf numFmtId="0" fontId="56" fillId="0" borderId="29" xfId="0" applyFont="1" applyFill="1" applyBorder="1" applyAlignment="1" applyProtection="1">
      <alignment vertical="center"/>
    </xf>
    <xf numFmtId="0" fontId="57" fillId="0" borderId="29" xfId="0" applyFont="1" applyFill="1" applyBorder="1" applyAlignment="1" applyProtection="1"/>
    <xf numFmtId="0" fontId="57" fillId="0" borderId="29" xfId="0" applyFont="1" applyFill="1" applyBorder="1" applyAlignment="1" applyProtection="1">
      <alignment horizontal="center"/>
    </xf>
    <xf numFmtId="0" fontId="57" fillId="0" borderId="0" xfId="0" applyFont="1" applyFill="1" applyBorder="1" applyAlignment="1" applyProtection="1"/>
    <xf numFmtId="0" fontId="9" fillId="0" borderId="6" xfId="0" applyFont="1" applyFill="1" applyBorder="1" applyAlignment="1" applyProtection="1"/>
    <xf numFmtId="0" fontId="25" fillId="3" borderId="0" xfId="0" applyFont="1" applyFill="1" applyBorder="1" applyAlignment="1" applyProtection="1">
      <alignment horizontal="left" wrapText="1"/>
    </xf>
    <xf numFmtId="0" fontId="3" fillId="0" borderId="0" xfId="0" applyFont="1" applyAlignment="1" applyProtection="1">
      <alignment horizontal="left" wrapText="1"/>
    </xf>
    <xf numFmtId="0" fontId="118" fillId="0" borderId="0" xfId="0" applyFont="1" applyAlignment="1" applyProtection="1">
      <alignment wrapText="1"/>
    </xf>
    <xf numFmtId="0" fontId="3" fillId="0" borderId="0" xfId="0" applyFont="1" applyAlignment="1" applyProtection="1">
      <alignment wrapText="1"/>
    </xf>
    <xf numFmtId="0" fontId="9" fillId="3" borderId="0" xfId="0" applyFont="1" applyFill="1" applyAlignment="1" applyProtection="1">
      <alignment horizontal="left" vertical="center"/>
    </xf>
    <xf numFmtId="0" fontId="9" fillId="0" borderId="4" xfId="0" applyFont="1" applyFill="1" applyBorder="1" applyAlignment="1" applyProtection="1">
      <alignment horizontal="left" vertical="center"/>
    </xf>
    <xf numFmtId="0" fontId="86" fillId="0" borderId="6" xfId="0" applyFont="1" applyFill="1" applyBorder="1" applyAlignment="1" applyProtection="1">
      <alignment horizontal="left" vertical="top" wrapText="1"/>
    </xf>
    <xf numFmtId="0" fontId="25" fillId="3" borderId="0" xfId="0" applyFont="1" applyFill="1" applyBorder="1" applyAlignment="1" applyProtection="1">
      <alignment horizontal="left" vertical="center" wrapText="1"/>
    </xf>
    <xf numFmtId="0" fontId="17" fillId="3" borderId="0" xfId="0" applyFont="1" applyFill="1" applyAlignment="1" applyProtection="1">
      <alignment horizontal="left" vertical="center"/>
    </xf>
    <xf numFmtId="0" fontId="3" fillId="0" borderId="0" xfId="0" applyFont="1" applyAlignment="1" applyProtection="1">
      <alignment horizontal="left" vertical="top" wrapText="1"/>
    </xf>
    <xf numFmtId="0" fontId="118" fillId="0" borderId="0" xfId="0" applyFont="1" applyAlignment="1" applyProtection="1">
      <alignment vertical="top" wrapText="1"/>
    </xf>
    <xf numFmtId="0" fontId="3" fillId="0" borderId="0" xfId="0" applyFont="1" applyAlignment="1" applyProtection="1">
      <alignment vertical="top" wrapText="1"/>
    </xf>
    <xf numFmtId="0" fontId="114" fillId="0" borderId="4" xfId="0" applyFont="1" applyBorder="1" applyAlignment="1" applyProtection="1">
      <alignment horizontal="left" vertical="top"/>
    </xf>
    <xf numFmtId="0" fontId="3" fillId="0" borderId="0" xfId="0" applyFont="1" applyFill="1" applyBorder="1" applyAlignment="1" applyProtection="1">
      <alignment horizontal="right" vertical="center" wrapText="1"/>
    </xf>
    <xf numFmtId="0" fontId="9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6" xfId="0" applyFont="1" applyFill="1" applyBorder="1" applyAlignment="1" applyProtection="1">
      <alignment horizontal="left" vertical="top" wrapText="1"/>
    </xf>
    <xf numFmtId="0" fontId="83" fillId="0" borderId="0" xfId="0" applyFont="1" applyFill="1" applyBorder="1" applyAlignment="1" applyProtection="1">
      <alignment horizontal="center" vertical="center" wrapText="1"/>
    </xf>
    <xf numFmtId="0" fontId="3" fillId="0" borderId="0" xfId="0" applyFont="1" applyFill="1" applyAlignment="1" applyProtection="1">
      <alignment vertical="top" wrapText="1"/>
    </xf>
    <xf numFmtId="0" fontId="83" fillId="0" borderId="4" xfId="0" applyFont="1" applyFill="1" applyBorder="1" applyAlignment="1" applyProtection="1"/>
    <xf numFmtId="0" fontId="3" fillId="0" borderId="0" xfId="0" applyFont="1" applyFill="1" applyAlignment="1" applyProtection="1">
      <alignment horizontal="right" wrapText="1"/>
    </xf>
    <xf numFmtId="0" fontId="3" fillId="0" borderId="0" xfId="0" applyFont="1" applyFill="1" applyAlignment="1" applyProtection="1">
      <alignment wrapText="1"/>
    </xf>
    <xf numFmtId="0" fontId="57" fillId="0" borderId="0" xfId="0" applyFont="1" applyFill="1" applyBorder="1" applyAlignment="1" applyProtection="1">
      <alignment horizontal="right" vertical="center"/>
    </xf>
    <xf numFmtId="0" fontId="17" fillId="0" borderId="6" xfId="0" applyFont="1" applyFill="1" applyBorder="1" applyAlignment="1" applyProtection="1">
      <alignment horizontal="left" wrapText="1"/>
    </xf>
    <xf numFmtId="0" fontId="3" fillId="0" borderId="4" xfId="0" applyFont="1" applyBorder="1" applyAlignment="1" applyProtection="1">
      <alignment vertical="center"/>
    </xf>
    <xf numFmtId="0" fontId="57" fillId="0" borderId="0" xfId="0" applyFont="1" applyFill="1" applyBorder="1" applyAlignment="1" applyProtection="1">
      <alignment horizontal="left" vertical="center"/>
    </xf>
    <xf numFmtId="0" fontId="57" fillId="0" borderId="0" xfId="0" applyFont="1" applyFill="1" applyBorder="1" applyAlignment="1" applyProtection="1">
      <alignment vertical="center" wrapText="1"/>
    </xf>
    <xf numFmtId="0" fontId="57"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18" fillId="0" borderId="0" xfId="0" applyFont="1" applyAlignment="1" applyProtection="1">
      <alignment vertical="center" wrapText="1"/>
    </xf>
    <xf numFmtId="0" fontId="3" fillId="0" borderId="0" xfId="0" applyFont="1" applyAlignment="1" applyProtection="1">
      <alignment vertical="center" wrapText="1"/>
    </xf>
    <xf numFmtId="0" fontId="83" fillId="0" borderId="4" xfId="0" applyFont="1" applyBorder="1" applyAlignment="1" applyProtection="1">
      <alignment vertical="center" wrapText="1"/>
    </xf>
    <xf numFmtId="0" fontId="24"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top" wrapText="1"/>
    </xf>
    <xf numFmtId="0" fontId="57"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95" fillId="0" borderId="0" xfId="0" applyFont="1" applyFill="1" applyBorder="1" applyAlignment="1" applyProtection="1">
      <alignment horizontal="left" vertical="top"/>
    </xf>
    <xf numFmtId="0" fontId="114" fillId="0" borderId="4" xfId="0" applyFont="1" applyBorder="1" applyAlignment="1" applyProtection="1">
      <alignment horizontal="left" vertical="center"/>
    </xf>
    <xf numFmtId="0" fontId="3" fillId="0" borderId="0" xfId="0" applyFont="1" applyFill="1" applyBorder="1" applyAlignment="1" applyProtection="1">
      <alignment horizontal="right" wrapText="1"/>
    </xf>
    <xf numFmtId="0" fontId="57" fillId="0" borderId="0" xfId="0" applyFont="1" applyBorder="1" applyAlignment="1" applyProtection="1"/>
    <xf numFmtId="0" fontId="77" fillId="0" borderId="0" xfId="0" applyFont="1" applyAlignment="1" applyProtection="1">
      <alignment horizontal="center"/>
    </xf>
    <xf numFmtId="0" fontId="3" fillId="0" borderId="0" xfId="0" applyFont="1" applyAlignment="1" applyProtection="1">
      <alignment horizontal="center" wrapText="1"/>
    </xf>
    <xf numFmtId="0" fontId="93" fillId="0" borderId="0" xfId="0" applyFont="1" applyFill="1" applyBorder="1" applyAlignment="1" applyProtection="1">
      <alignment horizontal="right" wrapText="1"/>
    </xf>
    <xf numFmtId="0" fontId="24" fillId="0" borderId="0" xfId="0" applyFont="1" applyFill="1" applyBorder="1" applyAlignment="1" applyProtection="1">
      <alignment horizontal="left" wrapText="1"/>
    </xf>
    <xf numFmtId="0" fontId="86" fillId="0" borderId="6" xfId="0" applyFont="1" applyFill="1" applyBorder="1" applyAlignment="1" applyProtection="1">
      <alignment horizontal="left" wrapText="1"/>
    </xf>
    <xf numFmtId="0" fontId="57" fillId="0" borderId="0" xfId="0" applyFont="1" applyBorder="1" applyAlignment="1" applyProtection="1">
      <alignment vertical="center"/>
    </xf>
    <xf numFmtId="0" fontId="93" fillId="0" borderId="0" xfId="0" applyFont="1" applyAlignment="1" applyProtection="1">
      <alignment vertical="center" wrapText="1"/>
    </xf>
    <xf numFmtId="0" fontId="3" fillId="0" borderId="0" xfId="0" applyFont="1" applyAlignment="1" applyProtection="1">
      <alignment horizontal="center" vertical="center" wrapText="1"/>
    </xf>
    <xf numFmtId="0" fontId="93" fillId="0" borderId="0" xfId="0" applyFont="1" applyFill="1" applyBorder="1" applyAlignment="1" applyProtection="1">
      <alignment horizontal="right" vertical="center" wrapText="1"/>
    </xf>
    <xf numFmtId="0" fontId="94" fillId="0" borderId="0" xfId="0" applyFont="1" applyFill="1" applyBorder="1" applyAlignment="1" applyProtection="1">
      <alignment horizontal="right" vertical="center" wrapText="1"/>
    </xf>
    <xf numFmtId="0" fontId="67" fillId="0" borderId="0" xfId="3" applyBorder="1" applyAlignment="1" applyProtection="1">
      <alignment vertical="center"/>
    </xf>
    <xf numFmtId="0" fontId="93"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114" fillId="0" borderId="6" xfId="0" applyFont="1" applyFill="1" applyBorder="1" applyAlignment="1" applyProtection="1">
      <alignment horizontal="left" vertical="center"/>
    </xf>
    <xf numFmtId="0" fontId="94" fillId="0" borderId="0" xfId="0" applyFont="1" applyFill="1" applyBorder="1" applyAlignment="1" applyProtection="1">
      <alignment horizontal="center" vertical="center"/>
    </xf>
    <xf numFmtId="0" fontId="93" fillId="0" borderId="0" xfId="0" applyFont="1" applyFill="1" applyBorder="1" applyAlignment="1" applyProtection="1">
      <alignment horizontal="left" vertical="center"/>
    </xf>
    <xf numFmtId="0" fontId="114" fillId="0" borderId="6" xfId="0" applyFont="1" applyFill="1" applyBorder="1" applyAlignment="1" applyProtection="1">
      <alignment horizontal="right" vertical="center"/>
    </xf>
    <xf numFmtId="0" fontId="83" fillId="0" borderId="0" xfId="0" applyFont="1" applyFill="1" applyBorder="1" applyAlignment="1" applyProtection="1"/>
    <xf numFmtId="0" fontId="93" fillId="0" borderId="0" xfId="0" applyFont="1" applyFill="1" applyBorder="1" applyAlignment="1" applyProtection="1">
      <alignment horizontal="center" wrapText="1"/>
    </xf>
    <xf numFmtId="0" fontId="93" fillId="0" borderId="0" xfId="0" applyFont="1" applyAlignment="1" applyProtection="1">
      <alignment wrapText="1"/>
    </xf>
    <xf numFmtId="0" fontId="93" fillId="0" borderId="0" xfId="0" applyFont="1" applyFill="1" applyBorder="1" applyAlignment="1" applyProtection="1">
      <alignment horizontal="left" wrapText="1"/>
    </xf>
    <xf numFmtId="0" fontId="114" fillId="0" borderId="6" xfId="0" applyFont="1" applyFill="1" applyBorder="1" applyAlignment="1" applyProtection="1">
      <alignment horizontal="left" vertical="top"/>
    </xf>
    <xf numFmtId="0" fontId="83" fillId="0" borderId="0" xfId="0" applyFont="1" applyBorder="1" applyAlignment="1" applyProtection="1"/>
    <xf numFmtId="0" fontId="93" fillId="0" borderId="0" xfId="0" applyFont="1" applyFill="1" applyBorder="1" applyAlignment="1" applyProtection="1">
      <alignment horizontal="left"/>
    </xf>
    <xf numFmtId="0" fontId="3" fillId="0" borderId="6" xfId="0" applyFont="1" applyBorder="1" applyAlignment="1" applyProtection="1">
      <alignment horizontal="center" wrapText="1"/>
    </xf>
    <xf numFmtId="0" fontId="25" fillId="3" borderId="0" xfId="0" applyFont="1" applyFill="1" applyBorder="1" applyAlignment="1" applyProtection="1">
      <alignment horizontal="left" vertical="top" wrapText="1"/>
    </xf>
    <xf numFmtId="0" fontId="93" fillId="0" borderId="0" xfId="0" applyFont="1" applyFill="1" applyBorder="1" applyAlignment="1" applyProtection="1">
      <alignment horizontal="center" vertical="top" wrapText="1"/>
    </xf>
    <xf numFmtId="0" fontId="57" fillId="0" borderId="0" xfId="0" applyFont="1" applyBorder="1" applyAlignment="1" applyProtection="1">
      <alignment vertical="top"/>
    </xf>
    <xf numFmtId="0" fontId="93" fillId="0" borderId="0" xfId="0" applyFont="1" applyAlignment="1" applyProtection="1">
      <alignment vertical="top" wrapText="1"/>
    </xf>
    <xf numFmtId="0" fontId="93" fillId="0" borderId="0" xfId="0" applyFont="1" applyFill="1" applyBorder="1" applyAlignment="1" applyProtection="1">
      <alignment horizontal="left" vertical="top" wrapText="1"/>
    </xf>
    <xf numFmtId="0" fontId="3" fillId="0" borderId="6" xfId="0" applyFont="1" applyBorder="1" applyAlignment="1" applyProtection="1">
      <alignment horizontal="center" vertical="top" wrapText="1"/>
    </xf>
    <xf numFmtId="0" fontId="67" fillId="0" borderId="0" xfId="3" applyFill="1" applyBorder="1" applyAlignment="1" applyProtection="1">
      <alignment horizontal="left" vertical="center"/>
    </xf>
    <xf numFmtId="0" fontId="75" fillId="0" borderId="0" xfId="0" applyFont="1" applyAlignment="1" applyProtection="1">
      <alignment horizontal="right" vertical="center" wrapText="1"/>
    </xf>
    <xf numFmtId="0" fontId="67" fillId="0" borderId="0" xfId="3"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93" fillId="0" borderId="0" xfId="0" applyFont="1" applyBorder="1" applyAlignment="1" applyProtection="1">
      <alignment horizontal="left" vertical="center"/>
    </xf>
    <xf numFmtId="0" fontId="106" fillId="0" borderId="0" xfId="0" applyFont="1" applyAlignment="1" applyProtection="1">
      <alignment horizontal="center" vertical="center" wrapText="1"/>
    </xf>
    <xf numFmtId="0" fontId="67" fillId="0" borderId="0" xfId="3" applyFill="1" applyAlignment="1" applyProtection="1">
      <alignment vertical="center"/>
    </xf>
    <xf numFmtId="0" fontId="67" fillId="0" borderId="0" xfId="3" applyFill="1" applyAlignment="1" applyProtection="1">
      <alignment horizontal="left" vertical="center" wrapText="1"/>
    </xf>
    <xf numFmtId="0" fontId="23" fillId="3" borderId="0" xfId="0" applyFont="1" applyFill="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2" fillId="0" borderId="5" xfId="0" applyFont="1" applyBorder="1" applyAlignment="1" applyProtection="1">
      <alignment horizontal="right" vertical="top" wrapText="1"/>
    </xf>
    <xf numFmtId="0" fontId="15" fillId="0" borderId="5" xfId="0" applyFont="1" applyBorder="1" applyAlignment="1" applyProtection="1">
      <alignment vertical="top" wrapText="1"/>
    </xf>
    <xf numFmtId="0" fontId="15" fillId="0" borderId="5" xfId="0" applyFont="1" applyBorder="1" applyAlignment="1" applyProtection="1">
      <alignment horizontal="center" vertical="top" wrapText="1"/>
    </xf>
    <xf numFmtId="0" fontId="15" fillId="0" borderId="5"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5" fillId="0" borderId="19" xfId="0" applyFont="1" applyBorder="1" applyAlignment="1" applyProtection="1">
      <alignment horizontal="center" vertical="top" wrapText="1"/>
    </xf>
    <xf numFmtId="0" fontId="23" fillId="3" borderId="0" xfId="0" applyFont="1" applyFill="1" applyBorder="1" applyAlignment="1" applyProtection="1">
      <alignment horizontal="right" vertical="center" wrapText="1"/>
    </xf>
    <xf numFmtId="0" fontId="23"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0" fillId="0" borderId="0" xfId="0" applyProtection="1"/>
    <xf numFmtId="0" fontId="0" fillId="0" borderId="0" xfId="0" applyAlignment="1" applyProtection="1">
      <alignment horizontal="right"/>
    </xf>
    <xf numFmtId="0" fontId="0" fillId="0" borderId="0" xfId="0" applyAlignment="1" applyProtection="1">
      <alignment horizontal="center"/>
    </xf>
    <xf numFmtId="0" fontId="115" fillId="0" borderId="0" xfId="0" applyFont="1" applyProtection="1"/>
    <xf numFmtId="0" fontId="4" fillId="0" borderId="20" xfId="0" applyFont="1" applyFill="1" applyBorder="1" applyAlignment="1" applyProtection="1">
      <alignment horizontal="left"/>
      <protection locked="0"/>
    </xf>
    <xf numFmtId="0" fontId="18" fillId="3" borderId="0" xfId="0" applyFont="1" applyFill="1" applyBorder="1" applyAlignment="1" applyProtection="1">
      <alignment horizontal="left" vertical="center"/>
    </xf>
    <xf numFmtId="0" fontId="18" fillId="3" borderId="0" xfId="0" applyFont="1" applyFill="1" applyBorder="1" applyAlignment="1" applyProtection="1">
      <alignment horizontal="center" vertical="center"/>
    </xf>
    <xf numFmtId="0" fontId="15" fillId="0" borderId="0" xfId="0" applyFont="1" applyAlignment="1" applyProtection="1">
      <alignment horizontal="left" vertical="top"/>
    </xf>
    <xf numFmtId="0" fontId="7" fillId="3" borderId="0" xfId="0" applyFont="1" applyFill="1" applyAlignment="1" applyProtection="1">
      <alignment horizontal="left"/>
    </xf>
    <xf numFmtId="0" fontId="59" fillId="0" borderId="2" xfId="0" applyFont="1" applyFill="1" applyBorder="1" applyAlignment="1" applyProtection="1">
      <alignment horizontal="left"/>
    </xf>
    <xf numFmtId="0" fontId="26" fillId="0" borderId="2" xfId="0" applyFont="1" applyBorder="1" applyAlignment="1" applyProtection="1"/>
    <xf numFmtId="0" fontId="26" fillId="0" borderId="2" xfId="0" applyFont="1" applyBorder="1" applyAlignment="1" applyProtection="1">
      <alignment horizontal="left"/>
    </xf>
    <xf numFmtId="0" fontId="4" fillId="3" borderId="0" xfId="0" applyFont="1" applyFill="1" applyBorder="1" applyAlignment="1" applyProtection="1">
      <alignment horizontal="left"/>
    </xf>
    <xf numFmtId="0" fontId="10" fillId="0" borderId="0" xfId="0" applyFont="1" applyAlignment="1" applyProtection="1">
      <alignment horizontal="left" wrapText="1"/>
    </xf>
    <xf numFmtId="0" fontId="10" fillId="0" borderId="0" xfId="0" applyFont="1" applyAlignment="1" applyProtection="1">
      <alignment horizontal="left"/>
    </xf>
    <xf numFmtId="0" fontId="10" fillId="0" borderId="0" xfId="0" applyFont="1" applyAlignment="1" applyProtection="1">
      <alignment wrapText="1"/>
    </xf>
    <xf numFmtId="0" fontId="28" fillId="0" borderId="0" xfId="0" applyFont="1" applyFill="1" applyBorder="1" applyAlignment="1" applyProtection="1">
      <alignment horizontal="left"/>
    </xf>
    <xf numFmtId="0" fontId="29" fillId="0" borderId="0" xfId="0" applyFont="1" applyBorder="1" applyAlignment="1" applyProtection="1">
      <alignment vertical="top" wrapText="1"/>
    </xf>
    <xf numFmtId="0" fontId="15" fillId="0" borderId="0" xfId="0" applyFont="1" applyBorder="1" applyAlignment="1" applyProtection="1">
      <alignment vertical="top" wrapText="1"/>
    </xf>
    <xf numFmtId="0" fontId="17"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top" wrapText="1"/>
    </xf>
    <xf numFmtId="0" fontId="19" fillId="3" borderId="0" xfId="0" applyFont="1" applyFill="1" applyBorder="1" applyAlignment="1" applyProtection="1">
      <alignment horizontal="left"/>
    </xf>
    <xf numFmtId="0" fontId="5" fillId="0" borderId="0" xfId="0" applyFont="1" applyBorder="1" applyAlignment="1" applyProtection="1">
      <alignment vertical="top" wrapText="1"/>
    </xf>
    <xf numFmtId="0" fontId="48" fillId="0" borderId="0" xfId="0" applyFont="1" applyFill="1" applyBorder="1" applyAlignment="1" applyProtection="1">
      <alignment horizontal="center" vertical="top" wrapText="1"/>
    </xf>
    <xf numFmtId="0" fontId="85" fillId="0" borderId="0" xfId="0" applyFont="1" applyFill="1" applyBorder="1" applyAlignment="1" applyProtection="1">
      <alignment horizontal="center" vertical="top"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57" fillId="0" borderId="0" xfId="0" applyFont="1" applyFill="1" applyBorder="1" applyAlignment="1" applyProtection="1">
      <alignment horizontal="center"/>
    </xf>
    <xf numFmtId="0" fontId="9" fillId="0" borderId="4" xfId="0" applyFont="1" applyFill="1" applyBorder="1" applyAlignment="1" applyProtection="1"/>
    <xf numFmtId="0" fontId="56" fillId="0" borderId="29" xfId="0" applyFont="1" applyFill="1" applyBorder="1" applyAlignment="1" applyProtection="1"/>
    <xf numFmtId="0" fontId="24" fillId="0" borderId="29" xfId="0" applyFont="1" applyFill="1" applyBorder="1" applyAlignment="1" applyProtection="1"/>
    <xf numFmtId="0" fontId="24" fillId="0" borderId="29" xfId="0" applyFont="1" applyBorder="1" applyAlignment="1" applyProtection="1">
      <alignment wrapText="1"/>
    </xf>
    <xf numFmtId="0" fontId="24" fillId="0" borderId="29" xfId="0" applyFont="1" applyBorder="1" applyAlignment="1" applyProtection="1">
      <alignment horizontal="left" wrapText="1"/>
    </xf>
    <xf numFmtId="0" fontId="3" fillId="0" borderId="6" xfId="0" applyFont="1" applyBorder="1" applyAlignment="1" applyProtection="1">
      <alignment wrapText="1"/>
    </xf>
    <xf numFmtId="0" fontId="9" fillId="3" borderId="0" xfId="0" applyFont="1" applyFill="1" applyBorder="1" applyAlignment="1" applyProtection="1">
      <alignment horizontal="left"/>
    </xf>
    <xf numFmtId="0" fontId="3" fillId="0" borderId="0" xfId="0" applyFont="1" applyAlignment="1" applyProtection="1">
      <alignment horizontal="left"/>
    </xf>
    <xf numFmtId="0" fontId="84" fillId="3" borderId="0" xfId="0" applyFont="1" applyFill="1" applyAlignment="1" applyProtection="1">
      <alignment horizontal="left" vertical="center"/>
    </xf>
    <xf numFmtId="0" fontId="84" fillId="0" borderId="4" xfId="0" applyFont="1" applyFill="1" applyBorder="1" applyAlignment="1" applyProtection="1">
      <alignment horizontal="left" vertical="center"/>
    </xf>
    <xf numFmtId="0" fontId="92" fillId="0" borderId="6" xfId="0" applyFont="1" applyFill="1" applyBorder="1" applyAlignment="1" applyProtection="1">
      <alignment horizontal="left" vertical="top" wrapText="1"/>
    </xf>
    <xf numFmtId="0" fontId="6" fillId="3" borderId="0" xfId="0" applyFont="1" applyFill="1" applyBorder="1" applyAlignment="1" applyProtection="1">
      <alignment horizontal="left"/>
    </xf>
    <xf numFmtId="0" fontId="70" fillId="0" borderId="0" xfId="0" applyFont="1" applyAlignment="1" applyProtection="1">
      <alignment horizontal="left" vertical="top" wrapText="1"/>
    </xf>
    <xf numFmtId="0" fontId="70" fillId="0" borderId="0" xfId="0" applyFont="1" applyAlignment="1" applyProtection="1">
      <alignment horizontal="left" vertical="top"/>
    </xf>
    <xf numFmtId="0" fontId="70" fillId="0" borderId="0" xfId="0" applyFont="1" applyAlignment="1" applyProtection="1">
      <alignment vertical="top" wrapText="1"/>
    </xf>
    <xf numFmtId="0" fontId="49" fillId="0" borderId="4" xfId="0" applyFont="1" applyFill="1" applyBorder="1" applyAlignment="1" applyProtection="1"/>
    <xf numFmtId="0" fontId="59" fillId="0" borderId="5" xfId="0" applyFont="1" applyFill="1" applyBorder="1" applyAlignment="1" applyProtection="1">
      <alignment vertical="center"/>
    </xf>
    <xf numFmtId="0" fontId="59" fillId="0" borderId="5" xfId="0" applyFont="1" applyFill="1" applyBorder="1" applyAlignment="1" applyProtection="1">
      <alignment horizontal="left" vertical="center" wrapText="1"/>
    </xf>
    <xf numFmtId="0" fontId="59" fillId="0" borderId="5" xfId="0" applyFont="1" applyFill="1" applyBorder="1" applyAlignment="1" applyProtection="1">
      <alignment horizontal="right" vertical="center"/>
    </xf>
    <xf numFmtId="0" fontId="59" fillId="0" borderId="5" xfId="0" applyFont="1" applyFill="1" applyBorder="1" applyAlignment="1" applyProtection="1">
      <alignment horizontal="left" vertical="center"/>
    </xf>
    <xf numFmtId="0" fontId="59"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left" wrapText="1"/>
    </xf>
    <xf numFmtId="0" fontId="84" fillId="3" borderId="0" xfId="0" applyFont="1" applyFill="1" applyAlignment="1" applyProtection="1">
      <alignment horizontal="left"/>
    </xf>
    <xf numFmtId="0" fontId="49" fillId="0" borderId="0" xfId="0" applyFont="1" applyAlignment="1" applyProtection="1">
      <alignment horizontal="left" wrapText="1"/>
    </xf>
    <xf numFmtId="0" fontId="49" fillId="0" borderId="0" xfId="0" applyFont="1" applyAlignment="1" applyProtection="1">
      <alignment horizontal="left"/>
    </xf>
    <xf numFmtId="0" fontId="49" fillId="0" borderId="0" xfId="0" applyFont="1" applyAlignment="1" applyProtection="1">
      <alignment wrapText="1"/>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right" vertical="center"/>
    </xf>
    <xf numFmtId="0" fontId="59"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wrapText="1"/>
    </xf>
    <xf numFmtId="0" fontId="70" fillId="0" borderId="12" xfId="0" applyFont="1" applyFill="1" applyBorder="1" applyAlignment="1" applyProtection="1">
      <alignment horizontal="center" vertical="center" wrapText="1"/>
    </xf>
    <xf numFmtId="0" fontId="70" fillId="0" borderId="13" xfId="0" applyFont="1" applyFill="1" applyBorder="1" applyAlignment="1" applyProtection="1">
      <alignment horizontal="center" vertical="center" wrapText="1"/>
    </xf>
    <xf numFmtId="0" fontId="87" fillId="0" borderId="6" xfId="0" applyFont="1" applyFill="1" applyBorder="1" applyAlignment="1" applyProtection="1">
      <alignment horizontal="left" vertical="center" wrapText="1"/>
    </xf>
    <xf numFmtId="0" fontId="70" fillId="0" borderId="0" xfId="0" applyFont="1" applyAlignment="1" applyProtection="1">
      <alignment horizontal="left" vertical="center" wrapText="1"/>
    </xf>
    <xf numFmtId="0" fontId="70" fillId="0" borderId="0" xfId="0" applyFont="1" applyFill="1" applyAlignment="1" applyProtection="1">
      <alignment horizontal="left" vertical="center"/>
    </xf>
    <xf numFmtId="0" fontId="70" fillId="0" borderId="0" xfId="0" applyFont="1" applyAlignment="1" applyProtection="1">
      <alignment horizontal="left" vertical="center"/>
    </xf>
    <xf numFmtId="0" fontId="6" fillId="0" borderId="0"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49" fillId="0" borderId="0" xfId="0" applyFont="1" applyBorder="1" applyAlignment="1" applyProtection="1">
      <alignment horizontal="left" vertical="center" wrapText="1"/>
    </xf>
    <xf numFmtId="0" fontId="70" fillId="0" borderId="0" xfId="0" applyFont="1" applyBorder="1" applyAlignment="1" applyProtection="1">
      <alignment horizontal="left" vertical="center" wrapText="1"/>
    </xf>
    <xf numFmtId="0" fontId="77" fillId="0" borderId="0" xfId="0" applyFont="1" applyFill="1" applyBorder="1" applyAlignment="1" applyProtection="1">
      <alignment horizontal="left" vertical="center" wrapText="1"/>
    </xf>
    <xf numFmtId="0" fontId="70" fillId="0" borderId="12" xfId="0" applyFont="1" applyBorder="1" applyAlignment="1" applyProtection="1">
      <alignment horizontal="center" vertical="center" wrapText="1"/>
    </xf>
    <xf numFmtId="0" fontId="87" fillId="0" borderId="6" xfId="0" applyFont="1" applyBorder="1" applyAlignment="1" applyProtection="1">
      <alignment horizontal="left" vertical="center" wrapText="1"/>
    </xf>
    <xf numFmtId="0" fontId="82" fillId="0" borderId="20" xfId="0" applyFont="1" applyBorder="1" applyAlignment="1" applyProtection="1">
      <alignment horizontal="center" vertical="center" wrapText="1"/>
    </xf>
    <xf numFmtId="0" fontId="17" fillId="0" borderId="29" xfId="0" applyFont="1" applyFill="1" applyBorder="1" applyAlignment="1" applyProtection="1"/>
    <xf numFmtId="0" fontId="17" fillId="0" borderId="29" xfId="0" applyFont="1" applyFill="1" applyBorder="1" applyAlignment="1" applyProtection="1">
      <alignment horizontal="left"/>
    </xf>
    <xf numFmtId="0" fontId="61" fillId="0" borderId="12" xfId="0" applyFont="1" applyBorder="1" applyAlignment="1" applyProtection="1">
      <alignment horizontal="center" vertical="center" wrapText="1"/>
    </xf>
    <xf numFmtId="0" fontId="70" fillId="0" borderId="6" xfId="0" applyFont="1" applyBorder="1" applyAlignment="1" applyProtection="1">
      <alignment horizontal="center" vertical="center" wrapText="1"/>
    </xf>
    <xf numFmtId="0" fontId="70" fillId="0" borderId="0" xfId="0" applyFont="1" applyAlignment="1" applyProtection="1">
      <alignment vertical="center" wrapText="1"/>
    </xf>
    <xf numFmtId="0" fontId="49" fillId="0" borderId="4" xfId="0" applyFont="1" applyBorder="1" applyAlignment="1" applyProtection="1">
      <alignment horizontal="center" vertical="center" wrapText="1"/>
    </xf>
    <xf numFmtId="0" fontId="82"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77" fillId="0" borderId="0" xfId="0" applyFont="1" applyBorder="1" applyAlignment="1" applyProtection="1">
      <alignment horizontal="left" vertical="center" wrapText="1"/>
    </xf>
    <xf numFmtId="0" fontId="70" fillId="0" borderId="0" xfId="0" applyFont="1" applyAlignment="1" applyProtection="1">
      <alignment vertical="center"/>
    </xf>
    <xf numFmtId="0" fontId="20" fillId="0" borderId="5" xfId="0" applyFont="1" applyBorder="1" applyAlignment="1" applyProtection="1">
      <alignment horizontal="center" vertical="center" wrapText="1"/>
    </xf>
    <xf numFmtId="0" fontId="15" fillId="0" borderId="5" xfId="0" applyFont="1" applyBorder="1" applyAlignment="1" applyProtection="1">
      <alignment horizontal="left" vertical="top" wrapText="1"/>
    </xf>
    <xf numFmtId="0" fontId="22" fillId="0" borderId="0" xfId="0" applyFont="1" applyAlignment="1" applyProtection="1">
      <alignment horizontal="right" vertical="top" wrapText="1"/>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left" vertical="top" wrapText="1"/>
    </xf>
    <xf numFmtId="0" fontId="15" fillId="0" borderId="0" xfId="0" applyFont="1" applyAlignment="1" applyProtection="1">
      <alignment horizontal="center" vertical="top" wrapText="1"/>
    </xf>
    <xf numFmtId="0" fontId="5" fillId="0" borderId="0" xfId="0" applyFont="1" applyAlignment="1" applyProtection="1">
      <alignment horizontal="left" vertical="top" wrapText="1"/>
    </xf>
    <xf numFmtId="0" fontId="89" fillId="3" borderId="0" xfId="0" applyFont="1" applyFill="1" applyBorder="1" applyAlignment="1" applyProtection="1">
      <alignment horizontal="left" wrapText="1"/>
    </xf>
    <xf numFmtId="0" fontId="88" fillId="3" borderId="0" xfId="0" applyFont="1" applyFill="1" applyBorder="1" applyAlignment="1" applyProtection="1">
      <alignment horizontal="left" vertical="center" wrapText="1"/>
    </xf>
    <xf numFmtId="0" fontId="88" fillId="0" borderId="4" xfId="0" applyFont="1" applyFill="1" applyBorder="1" applyAlignment="1" applyProtection="1">
      <alignment horizontal="left" vertical="center" wrapText="1"/>
    </xf>
    <xf numFmtId="0" fontId="77" fillId="0" borderId="40" xfId="0" applyFont="1" applyFill="1" applyBorder="1" applyAlignment="1" applyProtection="1">
      <alignment horizontal="left" vertical="center" wrapText="1"/>
      <protection locked="0"/>
    </xf>
    <xf numFmtId="0" fontId="77" fillId="0" borderId="40" xfId="0" applyFont="1" applyBorder="1" applyAlignment="1" applyProtection="1">
      <alignment horizontal="left" vertical="center" wrapText="1"/>
      <protection locked="0"/>
    </xf>
    <xf numFmtId="0" fontId="60" fillId="3" borderId="0" xfId="0" applyFont="1" applyFill="1" applyAlignment="1" applyProtection="1">
      <alignment horizontal="left" vertical="center"/>
    </xf>
    <xf numFmtId="0" fontId="3" fillId="0" borderId="0" xfId="0" applyFont="1" applyAlignment="1" applyProtection="1">
      <alignment horizontal="left" vertical="top"/>
    </xf>
    <xf numFmtId="0" fontId="55" fillId="3" borderId="0" xfId="0" applyFont="1" applyFill="1" applyBorder="1" applyAlignment="1" applyProtection="1">
      <alignment horizontal="left"/>
    </xf>
    <xf numFmtId="0" fontId="60" fillId="3" borderId="0" xfId="0" applyFont="1" applyFill="1" applyBorder="1" applyAlignment="1" applyProtection="1">
      <alignment horizontal="left"/>
    </xf>
    <xf numFmtId="0" fontId="3" fillId="0" borderId="4" xfId="0" applyFont="1" applyBorder="1" applyAlignment="1" applyProtection="1">
      <alignment vertical="top" wrapText="1"/>
    </xf>
    <xf numFmtId="0" fontId="57" fillId="3" borderId="0" xfId="0" applyFont="1" applyFill="1" applyBorder="1" applyAlignment="1" applyProtection="1">
      <alignment horizontal="left"/>
    </xf>
    <xf numFmtId="0" fontId="3" fillId="0" borderId="0" xfId="0" applyFont="1" applyBorder="1" applyAlignment="1" applyProtection="1">
      <alignment vertical="top" wrapText="1"/>
    </xf>
    <xf numFmtId="0" fontId="18" fillId="3" borderId="0" xfId="0" applyFont="1" applyFill="1" applyAlignment="1" applyProtection="1">
      <alignment horizontal="left"/>
    </xf>
    <xf numFmtId="0" fontId="20" fillId="0" borderId="4" xfId="0" applyFont="1" applyFill="1" applyBorder="1" applyAlignment="1" applyProtection="1"/>
    <xf numFmtId="0" fontId="60" fillId="0" borderId="5" xfId="0" applyFont="1" applyFill="1" applyBorder="1" applyAlignment="1" applyProtection="1">
      <alignment vertical="center"/>
    </xf>
    <xf numFmtId="0" fontId="60" fillId="0" borderId="5" xfId="0" applyFont="1" applyFill="1" applyBorder="1" applyAlignment="1" applyProtection="1">
      <alignment horizontal="left" vertical="center" wrapText="1"/>
    </xf>
    <xf numFmtId="0" fontId="60" fillId="0" borderId="5" xfId="0" applyFont="1" applyFill="1" applyBorder="1" applyAlignment="1" applyProtection="1">
      <alignment horizontal="right" vertical="center"/>
    </xf>
    <xf numFmtId="0" fontId="60" fillId="0" borderId="5" xfId="0" applyFont="1" applyFill="1" applyBorder="1" applyAlignment="1" applyProtection="1">
      <alignment horizontal="left" vertical="center"/>
    </xf>
    <xf numFmtId="0" fontId="60"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left" wrapText="1"/>
    </xf>
    <xf numFmtId="0" fontId="15" fillId="0" borderId="0" xfId="0" applyFont="1" applyAlignment="1" applyProtection="1">
      <alignment horizontal="left" wrapText="1"/>
    </xf>
    <xf numFmtId="0" fontId="15" fillId="0" borderId="0" xfId="0" applyFont="1" applyAlignment="1" applyProtection="1">
      <alignment wrapText="1"/>
    </xf>
    <xf numFmtId="0" fontId="59" fillId="3" borderId="0" xfId="0" applyFont="1" applyFill="1" applyBorder="1" applyAlignment="1" applyProtection="1">
      <alignment horizontal="left"/>
    </xf>
    <xf numFmtId="0" fontId="70" fillId="0" borderId="0" xfId="0" applyFont="1" applyAlignment="1" applyProtection="1">
      <alignment horizontal="left" wrapText="1"/>
    </xf>
    <xf numFmtId="0" fontId="70" fillId="0" borderId="0" xfId="0" applyFont="1" applyAlignment="1" applyProtection="1">
      <alignment wrapText="1"/>
    </xf>
    <xf numFmtId="0" fontId="3" fillId="0" borderId="0" xfId="0" applyFont="1" applyAlignment="1" applyProtection="1">
      <alignment horizontal="left" vertical="center"/>
    </xf>
    <xf numFmtId="0" fontId="84" fillId="3" borderId="0" xfId="0" applyFont="1" applyFill="1" applyBorder="1" applyAlignment="1" applyProtection="1">
      <alignment horizontal="left" vertical="center"/>
    </xf>
    <xf numFmtId="0" fontId="70" fillId="0" borderId="6" xfId="0" applyFont="1" applyFill="1" applyBorder="1" applyAlignment="1" applyProtection="1">
      <alignment horizontal="left" vertical="top" wrapText="1"/>
    </xf>
    <xf numFmtId="0" fontId="3" fillId="0" borderId="0" xfId="0" applyFont="1" applyBorder="1" applyAlignment="1" applyProtection="1">
      <alignment horizontal="left" vertical="center"/>
    </xf>
    <xf numFmtId="0" fontId="18" fillId="0" borderId="4" xfId="0" applyFont="1" applyFill="1" applyBorder="1" applyAlignment="1" applyProtection="1">
      <alignment horizontal="left" vertical="center"/>
    </xf>
    <xf numFmtId="0" fontId="22" fillId="0" borderId="6" xfId="0" applyFont="1" applyFill="1" applyBorder="1" applyAlignment="1" applyProtection="1">
      <alignment horizontal="left" vertical="top" wrapText="1"/>
    </xf>
    <xf numFmtId="0" fontId="90" fillId="3" borderId="0" xfId="0" applyFont="1" applyFill="1" applyBorder="1" applyAlignment="1" applyProtection="1">
      <alignment horizontal="left" wrapText="1"/>
    </xf>
    <xf numFmtId="0" fontId="20" fillId="0" borderId="0" xfId="0" applyFont="1" applyAlignment="1" applyProtection="1">
      <alignment horizontal="left" wrapText="1"/>
    </xf>
    <xf numFmtId="0" fontId="20" fillId="0" borderId="0" xfId="0" applyFont="1" applyAlignment="1" applyProtection="1">
      <alignment wrapText="1"/>
    </xf>
    <xf numFmtId="0" fontId="49" fillId="0" borderId="20" xfId="0" applyFont="1" applyBorder="1" applyAlignment="1" applyProtection="1">
      <alignment horizontal="center" vertical="center" wrapText="1"/>
    </xf>
    <xf numFmtId="0" fontId="59" fillId="0" borderId="12" xfId="0" applyFont="1" applyFill="1" applyBorder="1" applyAlignment="1" applyProtection="1">
      <alignment vertical="center"/>
    </xf>
    <xf numFmtId="0" fontId="59" fillId="0" borderId="13" xfId="0" applyFont="1" applyFill="1" applyBorder="1" applyAlignment="1" applyProtection="1">
      <alignment horizontal="left" vertical="center" wrapText="1"/>
    </xf>
    <xf numFmtId="0" fontId="59" fillId="0" borderId="13" xfId="0" applyFont="1" applyFill="1" applyBorder="1" applyAlignment="1" applyProtection="1">
      <alignment horizontal="right" vertical="center"/>
    </xf>
    <xf numFmtId="0" fontId="59" fillId="0" borderId="13" xfId="0" applyFont="1" applyFill="1" applyBorder="1" applyAlignment="1" applyProtection="1">
      <alignment horizontal="left" vertical="center"/>
    </xf>
    <xf numFmtId="0" fontId="59" fillId="0" borderId="13" xfId="0" applyFont="1" applyFill="1" applyBorder="1" applyAlignment="1" applyProtection="1">
      <alignment horizontal="center" vertical="center" wrapText="1"/>
    </xf>
    <xf numFmtId="0" fontId="59" fillId="0" borderId="40" xfId="0" applyFont="1" applyFill="1" applyBorder="1" applyAlignment="1" applyProtection="1">
      <alignment horizontal="left" vertical="center"/>
    </xf>
    <xf numFmtId="0" fontId="49" fillId="0" borderId="0" xfId="0" applyFont="1" applyBorder="1" applyAlignment="1" applyProtection="1">
      <alignment vertical="center" wrapText="1"/>
    </xf>
    <xf numFmtId="0" fontId="49" fillId="0" borderId="0" xfId="0" applyFont="1" applyBorder="1" applyAlignment="1" applyProtection="1">
      <alignment horizontal="center" vertical="center" wrapText="1"/>
    </xf>
    <xf numFmtId="0" fontId="23" fillId="0" borderId="4" xfId="0" applyFont="1" applyFill="1" applyBorder="1" applyAlignment="1" applyProtection="1">
      <alignment horizontal="left" vertical="center" wrapText="1"/>
    </xf>
    <xf numFmtId="0" fontId="83" fillId="0" borderId="0" xfId="0" applyFont="1" applyAlignment="1" applyProtection="1">
      <alignment horizontal="left"/>
    </xf>
    <xf numFmtId="0" fontId="11" fillId="3" borderId="0" xfId="0" applyFont="1" applyFill="1" applyBorder="1" applyAlignment="1" applyProtection="1">
      <alignment horizontal="left" wrapText="1"/>
    </xf>
    <xf numFmtId="0" fontId="8" fillId="0" borderId="4"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Alignment="1" applyProtection="1">
      <alignment horizontal="left" vertical="center" wrapText="1"/>
    </xf>
    <xf numFmtId="0" fontId="55" fillId="0" borderId="0" xfId="0" applyFont="1" applyFill="1" applyBorder="1" applyAlignment="1" applyProtection="1">
      <alignment horizontal="right" vertical="center"/>
    </xf>
    <xf numFmtId="0" fontId="55" fillId="0" borderId="0" xfId="0" applyFont="1" applyFill="1" applyBorder="1" applyAlignment="1" applyProtection="1">
      <alignment horizontal="left" vertical="center"/>
    </xf>
    <xf numFmtId="0" fontId="55"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left" wrapText="1"/>
    </xf>
    <xf numFmtId="0" fontId="8" fillId="0" borderId="0" xfId="0" applyFont="1" applyAlignment="1" applyProtection="1">
      <alignment horizontal="left" wrapText="1"/>
    </xf>
    <xf numFmtId="0" fontId="8" fillId="0" borderId="0" xfId="0" applyFont="1" applyAlignment="1" applyProtection="1">
      <alignment wrapText="1"/>
    </xf>
    <xf numFmtId="0" fontId="55" fillId="0" borderId="12" xfId="0" applyFont="1" applyFill="1" applyBorder="1" applyAlignment="1" applyProtection="1">
      <alignment vertical="center"/>
    </xf>
    <xf numFmtId="0" fontId="55" fillId="0" borderId="13" xfId="0" applyFont="1" applyFill="1" applyBorder="1" applyAlignment="1" applyProtection="1">
      <alignment horizontal="left" vertical="center" wrapText="1"/>
    </xf>
    <xf numFmtId="0" fontId="55" fillId="0" borderId="13" xfId="0" applyFont="1" applyFill="1" applyBorder="1" applyAlignment="1" applyProtection="1">
      <alignment horizontal="right" vertical="center"/>
    </xf>
    <xf numFmtId="0" fontId="55" fillId="0" borderId="13" xfId="0" applyFont="1" applyFill="1" applyBorder="1" applyAlignment="1" applyProtection="1">
      <alignment horizontal="left" vertical="center"/>
    </xf>
    <xf numFmtId="0" fontId="55" fillId="0" borderId="13" xfId="0" applyFont="1" applyFill="1" applyBorder="1" applyAlignment="1" applyProtection="1">
      <alignment horizontal="center" vertical="center" wrapText="1"/>
    </xf>
    <xf numFmtId="0" fontId="55" fillId="0" borderId="40" xfId="0" applyFont="1" applyFill="1" applyBorder="1" applyAlignment="1" applyProtection="1">
      <alignment horizontal="left" vertical="center"/>
    </xf>
    <xf numFmtId="0" fontId="58" fillId="3" borderId="0" xfId="0" applyFont="1" applyFill="1" applyBorder="1" applyAlignment="1" applyProtection="1">
      <alignment horizontal="left" vertical="center" wrapText="1"/>
    </xf>
    <xf numFmtId="0" fontId="58" fillId="0" borderId="0" xfId="0" applyFont="1" applyAlignment="1" applyProtection="1">
      <alignment horizontal="left" vertical="top" wrapText="1"/>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center" vertical="center"/>
    </xf>
    <xf numFmtId="0" fontId="57" fillId="3" borderId="0" xfId="0" applyFont="1" applyFill="1" applyAlignment="1" applyProtection="1">
      <alignment horizontal="left" vertical="center"/>
    </xf>
    <xf numFmtId="0" fontId="3" fillId="0" borderId="1" xfId="0" applyFont="1" applyBorder="1" applyAlignment="1" applyProtection="1">
      <alignment wrapText="1"/>
    </xf>
    <xf numFmtId="0" fontId="57" fillId="0" borderId="2" xfId="0" applyFont="1" applyFill="1" applyBorder="1" applyAlignment="1" applyProtection="1">
      <alignment horizontal="left"/>
    </xf>
    <xf numFmtId="0" fontId="17" fillId="0" borderId="2" xfId="0" applyFont="1" applyFill="1" applyBorder="1" applyAlignment="1" applyProtection="1">
      <alignment horizontal="left"/>
    </xf>
    <xf numFmtId="0" fontId="24" fillId="0" borderId="2" xfId="0" applyFont="1" applyBorder="1" applyAlignment="1" applyProtection="1"/>
    <xf numFmtId="0" fontId="17" fillId="0" borderId="2" xfId="0" applyFont="1" applyFill="1" applyBorder="1" applyAlignment="1" applyProtection="1">
      <alignment horizontal="center"/>
    </xf>
    <xf numFmtId="0" fontId="24" fillId="0" borderId="2" xfId="0" applyFont="1" applyBorder="1" applyAlignment="1" applyProtection="1">
      <alignment horizontal="left"/>
    </xf>
    <xf numFmtId="0" fontId="83" fillId="0" borderId="3" xfId="0" applyFont="1" applyFill="1" applyBorder="1" applyAlignment="1" applyProtection="1">
      <alignment horizontal="left" wrapText="1"/>
    </xf>
    <xf numFmtId="0" fontId="98" fillId="3" borderId="0" xfId="0" applyFont="1" applyFill="1" applyAlignment="1" applyProtection="1">
      <alignment horizontal="left" vertical="center"/>
    </xf>
    <xf numFmtId="0" fontId="99" fillId="0" borderId="4" xfId="0" applyFont="1" applyBorder="1" applyAlignment="1" applyProtection="1">
      <alignment vertical="top" wrapText="1"/>
    </xf>
    <xf numFmtId="0" fontId="99" fillId="0" borderId="0" xfId="0" applyFont="1" applyAlignment="1" applyProtection="1">
      <alignment vertical="top" wrapText="1"/>
    </xf>
    <xf numFmtId="0" fontId="99" fillId="0" borderId="0" xfId="0" applyFont="1" applyBorder="1" applyAlignment="1" applyProtection="1">
      <alignment vertical="top" wrapText="1"/>
    </xf>
    <xf numFmtId="0" fontId="28" fillId="0" borderId="0" xfId="0" applyFont="1" applyFill="1" applyBorder="1" applyAlignment="1" applyProtection="1">
      <alignment horizontal="center" vertical="center"/>
    </xf>
    <xf numFmtId="0" fontId="99" fillId="0" borderId="0" xfId="0" applyFont="1" applyFill="1" applyBorder="1" applyAlignment="1" applyProtection="1">
      <alignment horizontal="left" vertical="top" wrapText="1"/>
    </xf>
    <xf numFmtId="0" fontId="99" fillId="0" borderId="6" xfId="0" applyFont="1" applyFill="1" applyBorder="1" applyAlignment="1" applyProtection="1">
      <alignment horizontal="left" vertical="top" wrapText="1"/>
    </xf>
    <xf numFmtId="0" fontId="54" fillId="3" borderId="0" xfId="0" applyFont="1" applyFill="1" applyBorder="1" applyAlignment="1" applyProtection="1">
      <alignment horizontal="left"/>
    </xf>
    <xf numFmtId="0" fontId="99" fillId="0" borderId="0" xfId="0" applyFont="1" applyAlignment="1" applyProtection="1">
      <alignment horizontal="left" vertical="top" wrapText="1"/>
    </xf>
    <xf numFmtId="0" fontId="24" fillId="0" borderId="0" xfId="0" applyFont="1" applyBorder="1" applyAlignment="1" applyProtection="1">
      <alignment vertical="top" wrapText="1"/>
    </xf>
    <xf numFmtId="0" fontId="17" fillId="0" borderId="0" xfId="0" applyFont="1" applyFill="1" applyBorder="1" applyAlignment="1" applyProtection="1">
      <alignment horizontal="left" vertical="center"/>
    </xf>
    <xf numFmtId="0" fontId="24" fillId="0" borderId="0" xfId="0" applyFont="1" applyFill="1" applyBorder="1" applyAlignment="1" applyProtection="1">
      <alignment horizontal="right"/>
    </xf>
    <xf numFmtId="0" fontId="3" fillId="0" borderId="0" xfId="0" applyFont="1" applyBorder="1" applyAlignment="1" applyProtection="1">
      <alignment horizontal="center" vertical="center" wrapText="1"/>
    </xf>
    <xf numFmtId="0" fontId="17" fillId="0" borderId="0" xfId="0" applyFont="1" applyFill="1" applyBorder="1" applyAlignment="1" applyProtection="1">
      <alignment horizontal="left"/>
    </xf>
    <xf numFmtId="0" fontId="17" fillId="0" borderId="0" xfId="0" applyFont="1" applyFill="1" applyBorder="1" applyAlignment="1" applyProtection="1">
      <alignment horizontal="right" vertical="center"/>
    </xf>
    <xf numFmtId="0" fontId="17" fillId="0" borderId="0" xfId="0" applyFont="1" applyFill="1" applyBorder="1" applyAlignment="1" applyProtection="1">
      <alignment horizontal="left" vertical="center" wrapText="1"/>
    </xf>
    <xf numFmtId="0" fontId="84" fillId="3" borderId="0" xfId="0" applyFont="1" applyFill="1" applyBorder="1" applyAlignment="1" applyProtection="1">
      <alignment horizontal="left"/>
    </xf>
    <xf numFmtId="0" fontId="6" fillId="0" borderId="4" xfId="0" applyFont="1" applyFill="1" applyBorder="1" applyAlignment="1" applyProtection="1">
      <alignment horizontal="center" vertical="center" wrapText="1"/>
    </xf>
    <xf numFmtId="0" fontId="70" fillId="0" borderId="0" xfId="0" applyFont="1" applyBorder="1" applyAlignment="1" applyProtection="1">
      <alignment horizontal="center" vertical="center" wrapText="1"/>
    </xf>
    <xf numFmtId="0" fontId="70" fillId="0" borderId="0" xfId="0" applyFont="1" applyFill="1" applyBorder="1" applyAlignment="1" applyProtection="1">
      <alignment horizontal="left" vertical="center" wrapText="1"/>
    </xf>
    <xf numFmtId="0" fontId="6" fillId="0" borderId="4"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88" fillId="3" borderId="0" xfId="0" applyFont="1" applyFill="1" applyBorder="1" applyAlignment="1" applyProtection="1">
      <alignment horizontal="left" wrapText="1"/>
    </xf>
    <xf numFmtId="0" fontId="83" fillId="0" borderId="17" xfId="0" applyFont="1" applyBorder="1" applyAlignment="1" applyProtection="1">
      <alignment horizontal="center" vertical="center" wrapText="1"/>
    </xf>
    <xf numFmtId="0" fontId="83" fillId="0" borderId="5" xfId="0" applyFont="1" applyBorder="1" applyAlignment="1" applyProtection="1">
      <alignment horizontal="center" vertical="center" wrapText="1"/>
    </xf>
    <xf numFmtId="0" fontId="86" fillId="0" borderId="5" xfId="0" applyFont="1" applyBorder="1" applyAlignment="1" applyProtection="1">
      <alignment horizontal="right" vertical="top" wrapText="1"/>
    </xf>
    <xf numFmtId="0" fontId="3" fillId="0" borderId="5" xfId="0" applyFont="1" applyBorder="1" applyAlignment="1" applyProtection="1">
      <alignment vertical="top" wrapText="1"/>
    </xf>
    <xf numFmtId="0" fontId="3" fillId="0" borderId="5" xfId="0" applyFont="1" applyBorder="1" applyAlignment="1" applyProtection="1">
      <alignment horizontal="center" vertical="center" wrapText="1"/>
    </xf>
    <xf numFmtId="0" fontId="96" fillId="0" borderId="5" xfId="0"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3" fillId="0" borderId="19" xfId="0" applyFont="1" applyBorder="1" applyAlignment="1" applyProtection="1">
      <alignment horizontal="center" vertical="top" wrapText="1"/>
    </xf>
    <xf numFmtId="0" fontId="25" fillId="3" borderId="0" xfId="0" applyFont="1" applyFill="1" applyBorder="1" applyAlignment="1" applyProtection="1">
      <alignment horizontal="center" vertical="center" wrapText="1"/>
    </xf>
    <xf numFmtId="0" fontId="86" fillId="0" borderId="0" xfId="0" applyFont="1" applyAlignment="1" applyProtection="1">
      <alignment horizontal="right" vertical="top"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top" wrapText="1"/>
    </xf>
    <xf numFmtId="0" fontId="93" fillId="0" borderId="0" xfId="0" applyFont="1" applyAlignment="1" applyProtection="1">
      <alignment horizontal="left" vertical="top" wrapText="1"/>
    </xf>
    <xf numFmtId="0" fontId="9" fillId="3" borderId="0" xfId="0" applyFont="1" applyFill="1" applyAlignment="1" applyProtection="1">
      <alignment horizontal="center" vertical="center"/>
    </xf>
    <xf numFmtId="0" fontId="24"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xf>
    <xf numFmtId="0" fontId="6" fillId="0" borderId="20" xfId="0" applyFont="1" applyFill="1" applyBorder="1" applyAlignment="1" applyProtection="1">
      <alignment horizontal="center" vertical="center" wrapText="1"/>
    </xf>
    <xf numFmtId="0" fontId="97" fillId="3" borderId="0" xfId="0" applyFont="1" applyFill="1" applyBorder="1" applyAlignment="1" applyProtection="1">
      <alignment horizontal="left" wrapText="1"/>
    </xf>
    <xf numFmtId="0" fontId="77" fillId="3" borderId="0" xfId="0" applyFont="1" applyFill="1" applyBorder="1" applyAlignment="1" applyProtection="1">
      <alignment horizontal="left" vertical="center" wrapText="1"/>
    </xf>
    <xf numFmtId="0" fontId="93" fillId="3" borderId="0" xfId="0" applyFont="1" applyFill="1" applyBorder="1" applyAlignment="1" applyProtection="1">
      <alignment horizontal="left" vertical="center" wrapText="1"/>
    </xf>
    <xf numFmtId="0" fontId="9" fillId="3" borderId="0" xfId="0" applyFont="1" applyFill="1" applyBorder="1" applyAlignment="1" applyProtection="1">
      <alignment vertical="center"/>
    </xf>
    <xf numFmtId="0" fontId="99"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17" fillId="0" borderId="0" xfId="0" applyFont="1" applyFill="1" applyBorder="1" applyAlignment="1" applyProtection="1">
      <alignment vertical="center" wrapText="1"/>
    </xf>
    <xf numFmtId="0" fontId="77" fillId="0" borderId="0" xfId="0" applyFont="1" applyFill="1" applyBorder="1" applyAlignment="1" applyProtection="1">
      <alignment vertical="center" wrapText="1"/>
    </xf>
    <xf numFmtId="0" fontId="77" fillId="0" borderId="0" xfId="0" applyFont="1" applyBorder="1" applyAlignment="1" applyProtection="1">
      <alignment vertical="center" wrapText="1"/>
    </xf>
    <xf numFmtId="0" fontId="57" fillId="0" borderId="41" xfId="0" applyFont="1" applyFill="1" applyBorder="1" applyAlignment="1" applyProtection="1"/>
    <xf numFmtId="0" fontId="17" fillId="0" borderId="41" xfId="0" applyFont="1" applyFill="1" applyBorder="1" applyAlignment="1" applyProtection="1"/>
    <xf numFmtId="0" fontId="25" fillId="3" borderId="0" xfId="0" applyFont="1" applyFill="1" applyBorder="1" applyAlignment="1" applyProtection="1">
      <alignment vertical="center" wrapText="1"/>
    </xf>
    <xf numFmtId="0" fontId="77" fillId="0" borderId="40" xfId="0" applyFont="1" applyBorder="1" applyAlignment="1" applyProtection="1">
      <alignment vertical="center" wrapText="1"/>
      <protection locked="0"/>
    </xf>
    <xf numFmtId="0" fontId="77" fillId="0" borderId="40" xfId="0" applyFont="1" applyFill="1" applyBorder="1" applyAlignment="1" applyProtection="1">
      <alignment vertical="center" wrapText="1"/>
      <protection locked="0"/>
    </xf>
    <xf numFmtId="0" fontId="110" fillId="0" borderId="2" xfId="0" applyFont="1" applyFill="1" applyBorder="1" applyAlignment="1" applyProtection="1">
      <alignment horizontal="left"/>
    </xf>
    <xf numFmtId="0" fontId="29"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0" fontId="27" fillId="0" borderId="30" xfId="0" applyFont="1" applyFill="1" applyBorder="1" applyAlignment="1" applyProtection="1"/>
    <xf numFmtId="0" fontId="17" fillId="0" borderId="30" xfId="0" applyFont="1" applyFill="1" applyBorder="1" applyAlignment="1" applyProtection="1">
      <alignment horizontal="left"/>
    </xf>
    <xf numFmtId="0" fontId="24" fillId="0" borderId="30" xfId="0" applyFont="1" applyFill="1" applyBorder="1" applyAlignment="1" applyProtection="1">
      <alignment horizontal="left"/>
    </xf>
    <xf numFmtId="0" fontId="24" fillId="0" borderId="30" xfId="0" applyFont="1" applyBorder="1" applyAlignment="1" applyProtection="1">
      <alignment horizontal="left" wrapText="1"/>
    </xf>
    <xf numFmtId="0" fontId="17" fillId="3" borderId="0" xfId="0" applyFont="1" applyFill="1" applyBorder="1" applyAlignment="1" applyProtection="1">
      <alignment horizontal="left"/>
    </xf>
    <xf numFmtId="0" fontId="77" fillId="0" borderId="5" xfId="0" applyFont="1" applyFill="1" applyBorder="1" applyAlignment="1" applyProtection="1">
      <alignment horizontal="center" vertical="center" wrapText="1"/>
    </xf>
    <xf numFmtId="0" fontId="111" fillId="0" borderId="5" xfId="0" applyFont="1" applyFill="1" applyBorder="1" applyAlignment="1" applyProtection="1">
      <alignment horizontal="center" vertical="center" wrapText="1"/>
    </xf>
    <xf numFmtId="0" fontId="48" fillId="0" borderId="4" xfId="0" applyFont="1" applyFill="1" applyBorder="1" applyAlignment="1" applyProtection="1"/>
    <xf numFmtId="0" fontId="59" fillId="0" borderId="25" xfId="0" applyFont="1" applyBorder="1" applyAlignment="1" applyProtection="1">
      <alignment horizontal="center" vertical="center" wrapText="1"/>
    </xf>
    <xf numFmtId="0" fontId="59" fillId="0" borderId="28" xfId="0" applyFont="1" applyBorder="1" applyAlignment="1" applyProtection="1">
      <alignment horizontal="center" vertical="center" wrapText="1"/>
    </xf>
    <xf numFmtId="0" fontId="50" fillId="0" borderId="0" xfId="0" applyFont="1" applyFill="1" applyBorder="1" applyAlignment="1" applyProtection="1"/>
    <xf numFmtId="0" fontId="27" fillId="0" borderId="0" xfId="0" applyFont="1" applyFill="1" applyBorder="1" applyAlignment="1" applyProtection="1"/>
    <xf numFmtId="0" fontId="24" fillId="0" borderId="0" xfId="0" applyFont="1" applyFill="1" applyBorder="1" applyAlignment="1" applyProtection="1">
      <alignment horizontal="left"/>
    </xf>
    <xf numFmtId="0" fontId="24" fillId="0" borderId="0" xfId="0" applyFont="1" applyBorder="1" applyAlignment="1" applyProtection="1">
      <alignment horizontal="left" wrapText="1"/>
    </xf>
    <xf numFmtId="0" fontId="15" fillId="0" borderId="5" xfId="0" applyFont="1" applyBorder="1" applyAlignment="1" applyProtection="1">
      <alignment horizontal="left" vertical="center" wrapText="1"/>
    </xf>
    <xf numFmtId="0" fontId="21" fillId="0" borderId="5" xfId="0" applyFont="1" applyBorder="1" applyAlignment="1" applyProtection="1">
      <alignment horizontal="left" vertical="center" wrapText="1"/>
    </xf>
    <xf numFmtId="0" fontId="5" fillId="3" borderId="0" xfId="0" applyFont="1" applyFill="1" applyBorder="1" applyAlignment="1" applyProtection="1">
      <alignment horizontal="center" vertical="top" wrapText="1"/>
    </xf>
    <xf numFmtId="0" fontId="15" fillId="0" borderId="0" xfId="0" applyFont="1" applyAlignment="1" applyProtection="1">
      <alignment horizontal="left" vertical="center" wrapText="1"/>
    </xf>
    <xf numFmtId="0" fontId="5" fillId="0" borderId="0" xfId="0" applyFont="1" applyAlignment="1" applyProtection="1">
      <alignment horizontal="center" vertical="top" wrapText="1"/>
    </xf>
    <xf numFmtId="0" fontId="70" fillId="0" borderId="25" xfId="0" applyFont="1" applyBorder="1" applyAlignment="1" applyProtection="1">
      <alignment vertical="center" wrapText="1"/>
      <protection locked="0"/>
    </xf>
    <xf numFmtId="0" fontId="70" fillId="0" borderId="24" xfId="0" applyFont="1" applyBorder="1" applyAlignment="1" applyProtection="1">
      <alignment vertical="center" wrapText="1"/>
      <protection locked="0"/>
    </xf>
    <xf numFmtId="0" fontId="70" fillId="0" borderId="27" xfId="0" applyFont="1" applyBorder="1" applyAlignment="1" applyProtection="1">
      <alignment vertical="center" wrapText="1"/>
      <protection locked="0"/>
    </xf>
    <xf numFmtId="0" fontId="26" fillId="0" borderId="3" xfId="0" applyFont="1" applyBorder="1" applyAlignment="1" applyProtection="1"/>
    <xf numFmtId="0" fontId="54" fillId="0" borderId="0" xfId="0" applyFont="1" applyFill="1" applyBorder="1" applyAlignment="1" applyProtection="1">
      <alignment horizontal="left" vertical="top"/>
    </xf>
    <xf numFmtId="0" fontId="15" fillId="0" borderId="4"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0" xfId="0" applyFont="1" applyFill="1" applyBorder="1" applyAlignment="1" applyProtection="1">
      <alignment vertical="top" wrapText="1"/>
    </xf>
    <xf numFmtId="0" fontId="3" fillId="0" borderId="6" xfId="0" applyFont="1" applyBorder="1" applyAlignment="1" applyProtection="1">
      <alignment vertical="center" wrapText="1"/>
    </xf>
    <xf numFmtId="0" fontId="15" fillId="0" borderId="0" xfId="0" applyFont="1" applyAlignment="1" applyProtection="1">
      <alignment vertical="center" wrapText="1"/>
    </xf>
    <xf numFmtId="0" fontId="65" fillId="0" borderId="0" xfId="0" applyFont="1" applyFill="1" applyBorder="1" applyAlignment="1" applyProtection="1">
      <alignment horizontal="left" vertical="center" wrapText="1"/>
    </xf>
    <xf numFmtId="0" fontId="3" fillId="0" borderId="1" xfId="0" applyFont="1" applyBorder="1" applyAlignment="1" applyProtection="1">
      <alignment vertical="center" wrapText="1"/>
    </xf>
    <xf numFmtId="0" fontId="15" fillId="0" borderId="2" xfId="0" applyFont="1" applyBorder="1" applyAlignment="1" applyProtection="1">
      <alignment vertical="center" wrapText="1"/>
    </xf>
    <xf numFmtId="0" fontId="3" fillId="0" borderId="3" xfId="0" applyFont="1" applyBorder="1" applyAlignment="1" applyProtection="1">
      <alignment vertical="center" wrapText="1"/>
    </xf>
    <xf numFmtId="0" fontId="9" fillId="0" borderId="0" xfId="0" applyFont="1" applyFill="1" applyBorder="1" applyAlignment="1" applyProtection="1"/>
    <xf numFmtId="0" fontId="3" fillId="0" borderId="4" xfId="0" applyFont="1" applyBorder="1" applyAlignment="1" applyProtection="1">
      <alignment wrapText="1"/>
    </xf>
    <xf numFmtId="0" fontId="105" fillId="0" borderId="0" xfId="0" applyFont="1" applyFill="1" applyBorder="1" applyAlignment="1" applyProtection="1"/>
    <xf numFmtId="0" fontId="65" fillId="0" borderId="0" xfId="0" applyFont="1" applyFill="1" applyAlignment="1" applyProtection="1">
      <alignment horizontal="left" vertical="center"/>
    </xf>
    <xf numFmtId="0" fontId="65" fillId="0" borderId="0" xfId="0" applyNumberFormat="1" applyFont="1" applyFill="1" applyAlignment="1" applyProtection="1">
      <alignment horizontal="left" vertical="center"/>
    </xf>
    <xf numFmtId="0" fontId="104" fillId="0" borderId="0" xfId="0" applyFont="1" applyFill="1" applyBorder="1" applyAlignment="1" applyProtection="1">
      <alignment vertical="top" wrapText="1"/>
    </xf>
    <xf numFmtId="0" fontId="48" fillId="0" borderId="0" xfId="0" applyFont="1" applyFill="1" applyBorder="1" applyAlignment="1" applyProtection="1"/>
    <xf numFmtId="0" fontId="16" fillId="6" borderId="42" xfId="0" applyFont="1" applyFill="1" applyBorder="1" applyAlignment="1" applyProtection="1">
      <alignment horizontal="left" vertical="top" wrapText="1"/>
    </xf>
    <xf numFmtId="49" fontId="60" fillId="0" borderId="0" xfId="0" applyNumberFormat="1" applyFont="1" applyFill="1" applyBorder="1" applyAlignment="1" applyProtection="1">
      <alignment horizontal="left" vertical="top" wrapText="1"/>
    </xf>
    <xf numFmtId="49" fontId="65" fillId="0" borderId="0" xfId="0" applyNumberFormat="1" applyFont="1" applyFill="1" applyBorder="1" applyAlignment="1" applyProtection="1">
      <alignment horizontal="left" vertical="center"/>
    </xf>
    <xf numFmtId="0" fontId="65" fillId="0" borderId="0" xfId="0" applyNumberFormat="1" applyFont="1" applyFill="1" applyBorder="1" applyAlignment="1" applyProtection="1">
      <alignment horizontal="center" vertical="center"/>
    </xf>
    <xf numFmtId="0" fontId="15" fillId="0" borderId="0" xfId="0" applyFont="1" applyFill="1" applyAlignment="1" applyProtection="1">
      <alignment vertical="top" wrapText="1"/>
    </xf>
    <xf numFmtId="0" fontId="3" fillId="0" borderId="17" xfId="0" applyFont="1" applyBorder="1" applyAlignment="1" applyProtection="1">
      <alignment wrapText="1"/>
    </xf>
    <xf numFmtId="0" fontId="5" fillId="0" borderId="5" xfId="0" applyFont="1" applyFill="1" applyBorder="1" applyAlignment="1" applyProtection="1">
      <alignment vertical="top" wrapText="1"/>
    </xf>
    <xf numFmtId="0" fontId="9" fillId="0" borderId="5" xfId="0" applyFont="1" applyFill="1" applyBorder="1" applyAlignment="1" applyProtection="1"/>
    <xf numFmtId="0" fontId="3" fillId="0" borderId="19" xfId="0" applyFont="1" applyBorder="1" applyAlignment="1" applyProtection="1">
      <alignment wrapText="1"/>
    </xf>
    <xf numFmtId="49" fontId="69" fillId="0" borderId="0" xfId="0" applyNumberFormat="1" applyFont="1" applyFill="1" applyBorder="1" applyAlignment="1" applyProtection="1">
      <alignment horizontal="left" vertical="center"/>
    </xf>
    <xf numFmtId="0" fontId="69" fillId="0" borderId="0" xfId="0" applyNumberFormat="1" applyFont="1" applyFill="1" applyBorder="1" applyAlignment="1" applyProtection="1">
      <alignment horizontal="center" vertical="center"/>
    </xf>
    <xf numFmtId="0" fontId="20" fillId="0" borderId="0" xfId="0" applyFont="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130" fillId="0" borderId="0" xfId="0" applyNumberFormat="1" applyFont="1" applyFill="1" applyBorder="1" applyAlignment="1" applyProtection="1">
      <alignment horizontal="center" vertical="center"/>
    </xf>
    <xf numFmtId="0" fontId="9" fillId="0" borderId="17" xfId="0" applyFont="1" applyFill="1" applyBorder="1" applyAlignment="1" applyProtection="1"/>
    <xf numFmtId="0" fontId="16" fillId="6" borderId="0" xfId="0" applyFont="1" applyFill="1" applyBorder="1" applyAlignment="1" applyProtection="1">
      <alignment horizontal="center" vertical="top" wrapText="1"/>
    </xf>
    <xf numFmtId="9" fontId="15" fillId="0" borderId="68" xfId="1" applyFont="1" applyFill="1" applyBorder="1" applyAlignment="1" applyProtection="1">
      <alignment horizontal="center" vertical="top" wrapText="1"/>
      <protection locked="0"/>
    </xf>
    <xf numFmtId="0" fontId="15" fillId="0" borderId="68" xfId="0" applyFont="1" applyFill="1" applyBorder="1" applyAlignment="1" applyProtection="1">
      <alignment horizontal="center" vertical="top" wrapText="1"/>
      <protection locked="0"/>
    </xf>
    <xf numFmtId="0" fontId="15" fillId="5" borderId="67" xfId="0" applyFont="1" applyFill="1" applyBorder="1" applyAlignment="1" applyProtection="1">
      <alignment horizontal="center" vertical="top" wrapText="1"/>
      <protection locked="0"/>
    </xf>
    <xf numFmtId="0" fontId="15" fillId="5" borderId="68" xfId="0" applyFont="1" applyFill="1" applyBorder="1" applyAlignment="1" applyProtection="1">
      <alignment horizontal="center" vertical="top" wrapText="1"/>
      <protection locked="0"/>
    </xf>
    <xf numFmtId="0" fontId="15" fillId="5" borderId="69" xfId="0" applyFont="1" applyFill="1" applyBorder="1" applyAlignment="1" applyProtection="1">
      <alignment horizontal="center" vertical="top" wrapText="1"/>
      <protection locked="0"/>
    </xf>
    <xf numFmtId="9" fontId="15" fillId="5" borderId="67" xfId="1" applyFont="1" applyFill="1" applyBorder="1" applyAlignment="1" applyProtection="1">
      <alignment horizontal="center" vertical="top" wrapText="1"/>
      <protection locked="0"/>
    </xf>
    <xf numFmtId="9" fontId="15" fillId="5" borderId="68" xfId="1" applyFont="1" applyFill="1" applyBorder="1" applyAlignment="1" applyProtection="1">
      <alignment horizontal="center" vertical="top" wrapText="1"/>
      <protection locked="0"/>
    </xf>
    <xf numFmtId="9" fontId="15" fillId="5" borderId="69" xfId="1" applyFont="1" applyFill="1" applyBorder="1" applyAlignment="1" applyProtection="1">
      <alignment horizontal="center" vertical="top" wrapText="1"/>
      <protection locked="0"/>
    </xf>
    <xf numFmtId="0" fontId="16" fillId="7" borderId="0" xfId="0" applyFont="1" applyFill="1" applyBorder="1" applyAlignment="1" applyProtection="1">
      <alignment horizontal="left" vertical="center"/>
      <protection locked="0"/>
    </xf>
    <xf numFmtId="0" fontId="16" fillId="7"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49" fillId="0" borderId="4"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59" fillId="0" borderId="13" xfId="0" applyFont="1" applyFill="1" applyBorder="1" applyAlignment="1" applyProtection="1">
      <alignment horizontal="left" vertical="center" wrapText="1"/>
    </xf>
    <xf numFmtId="0" fontId="134" fillId="0" borderId="0" xfId="0" applyFont="1" applyFill="1" applyBorder="1" applyAlignment="1">
      <alignment vertical="top" wrapText="1"/>
    </xf>
    <xf numFmtId="0" fontId="24" fillId="0" borderId="21"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4" fillId="0" borderId="22" xfId="0" applyFont="1" applyFill="1" applyBorder="1" applyAlignment="1" applyProtection="1">
      <alignment horizontal="left" vertical="center" wrapText="1"/>
      <protection locked="0"/>
    </xf>
    <xf numFmtId="0" fontId="93" fillId="0" borderId="0" xfId="0" applyFont="1" applyFill="1" applyBorder="1" applyAlignment="1" applyProtection="1">
      <alignment horizontal="left" vertical="center" wrapText="1"/>
    </xf>
    <xf numFmtId="0" fontId="67" fillId="0" borderId="0" xfId="3" applyFont="1" applyFill="1" applyBorder="1" applyAlignment="1" applyProtection="1">
      <alignment horizontal="left" vertical="center"/>
    </xf>
    <xf numFmtId="0" fontId="93" fillId="0" borderId="0" xfId="0" applyFont="1" applyFill="1" applyBorder="1" applyAlignment="1" applyProtection="1">
      <alignment horizontal="left" vertical="center"/>
    </xf>
    <xf numFmtId="0" fontId="3" fillId="0" borderId="13" xfId="0" applyFont="1" applyFill="1" applyBorder="1" applyAlignment="1" applyProtection="1">
      <alignment horizontal="left" vertical="center" wrapText="1"/>
      <protection locked="0"/>
    </xf>
    <xf numFmtId="0" fontId="95" fillId="0" borderId="0" xfId="0" applyFont="1" applyFill="1" applyBorder="1" applyAlignment="1" applyProtection="1">
      <alignment horizontal="left" vertical="center"/>
      <protection locked="0"/>
    </xf>
    <xf numFmtId="0" fontId="93" fillId="0" borderId="32" xfId="0" applyFont="1" applyFill="1" applyBorder="1" applyAlignment="1" applyProtection="1">
      <alignment horizontal="left" vertical="center" wrapText="1"/>
    </xf>
    <xf numFmtId="0" fontId="67" fillId="0" borderId="0" xfId="3" applyFont="1" applyBorder="1" applyAlignment="1" applyProtection="1">
      <alignment horizontal="left" vertical="center"/>
    </xf>
    <xf numFmtId="0" fontId="93" fillId="0" borderId="0" xfId="0" applyFont="1" applyBorder="1" applyAlignment="1" applyProtection="1">
      <alignment horizontal="left" vertical="center"/>
    </xf>
    <xf numFmtId="0" fontId="3" fillId="0" borderId="10" xfId="0" applyFont="1" applyFill="1" applyBorder="1" applyAlignment="1" applyProtection="1">
      <alignment horizontal="left" vertical="center" wrapText="1"/>
      <protection locked="0"/>
    </xf>
    <xf numFmtId="0" fontId="67" fillId="0" borderId="0" xfId="3" applyFill="1" applyAlignment="1" applyProtection="1">
      <alignment horizontal="left" vertical="center"/>
    </xf>
    <xf numFmtId="0" fontId="67" fillId="0" borderId="0" xfId="3" applyFill="1" applyAlignment="1" applyProtection="1">
      <alignment horizontal="center" vertical="center" wrapText="1"/>
    </xf>
    <xf numFmtId="0" fontId="67" fillId="0" borderId="0" xfId="3" applyFill="1" applyBorder="1" applyAlignment="1" applyProtection="1">
      <alignment horizontal="left" vertical="center" wrapText="1"/>
    </xf>
    <xf numFmtId="0" fontId="67" fillId="0" borderId="0" xfId="3" applyFill="1" applyBorder="1" applyAlignment="1" applyProtection="1">
      <alignment horizontal="left" vertical="center"/>
    </xf>
    <xf numFmtId="0" fontId="49" fillId="0" borderId="4" xfId="0" applyFont="1" applyBorder="1" applyAlignment="1" applyProtection="1">
      <alignment horizontal="center" vertical="center" wrapText="1"/>
    </xf>
    <xf numFmtId="0" fontId="70" fillId="0" borderId="13" xfId="0" applyFont="1" applyBorder="1" applyAlignment="1" applyProtection="1">
      <alignment horizontal="left" vertical="center" wrapText="1"/>
    </xf>
    <xf numFmtId="0" fontId="82" fillId="0" borderId="7" xfId="0" applyFont="1" applyBorder="1" applyAlignment="1" applyProtection="1">
      <alignment horizontal="center" vertical="center" wrapText="1"/>
    </xf>
    <xf numFmtId="0" fontId="82" fillId="0" borderId="9" xfId="0" applyFont="1" applyBorder="1" applyAlignment="1" applyProtection="1">
      <alignment horizontal="center" vertical="center" wrapText="1"/>
    </xf>
    <xf numFmtId="0" fontId="61" fillId="0" borderId="0" xfId="0" applyFont="1" applyFill="1" applyBorder="1" applyAlignment="1" applyProtection="1">
      <alignment horizontal="left" vertical="center" wrapText="1"/>
    </xf>
    <xf numFmtId="0" fontId="82" fillId="0" borderId="8"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70" fillId="0" borderId="13"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49" fillId="0" borderId="7"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49" fillId="0" borderId="9"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93" fillId="0" borderId="0" xfId="0" applyFont="1" applyFill="1" applyBorder="1" applyAlignment="1" applyProtection="1">
      <alignment horizontal="left" vertical="top" wrapText="1"/>
    </xf>
    <xf numFmtId="0" fontId="59" fillId="0" borderId="2" xfId="0" applyFont="1" applyFill="1" applyBorder="1" applyAlignment="1" applyProtection="1">
      <alignment horizontal="right" vertical="center"/>
    </xf>
    <xf numFmtId="0" fontId="59" fillId="0" borderId="26" xfId="0" applyFont="1" applyFill="1" applyBorder="1" applyAlignment="1" applyProtection="1">
      <alignment horizontal="right" vertical="center"/>
    </xf>
    <xf numFmtId="0" fontId="59" fillId="0" borderId="13" xfId="0" applyFont="1" applyFill="1" applyBorder="1" applyAlignment="1" applyProtection="1">
      <alignment horizontal="left" vertical="center" wrapText="1"/>
    </xf>
    <xf numFmtId="0" fontId="59" fillId="0" borderId="15" xfId="0" applyFont="1" applyFill="1" applyBorder="1" applyAlignment="1" applyProtection="1">
      <alignment horizontal="left" vertical="center" wrapText="1"/>
    </xf>
    <xf numFmtId="0" fontId="59" fillId="0" borderId="43" xfId="0" applyFont="1" applyFill="1" applyBorder="1" applyAlignment="1" applyProtection="1">
      <alignment horizontal="left" vertical="center"/>
    </xf>
    <xf numFmtId="0" fontId="59" fillId="0" borderId="23" xfId="0" applyFont="1" applyFill="1" applyBorder="1" applyAlignment="1" applyProtection="1">
      <alignment horizontal="left" vertical="center" wrapText="1"/>
    </xf>
    <xf numFmtId="0" fontId="59" fillId="0" borderId="10" xfId="0" applyFont="1" applyFill="1" applyBorder="1" applyAlignment="1" applyProtection="1">
      <alignment horizontal="left" vertical="center" wrapText="1"/>
    </xf>
    <xf numFmtId="0" fontId="69" fillId="0" borderId="0" xfId="0" applyFont="1" applyFill="1" applyBorder="1" applyAlignment="1" applyProtection="1">
      <alignment horizontal="left" vertical="top" wrapText="1"/>
    </xf>
    <xf numFmtId="0" fontId="65" fillId="0" borderId="0" xfId="0" applyFont="1" applyFill="1" applyBorder="1" applyAlignment="1" applyProtection="1">
      <alignment horizontal="left" vertical="top" wrapText="1"/>
    </xf>
    <xf numFmtId="0" fontId="103" fillId="0" borderId="0" xfId="0" applyFont="1" applyFill="1" applyBorder="1" applyAlignment="1" applyProtection="1">
      <alignment horizontal="left" vertical="center" wrapText="1"/>
    </xf>
    <xf numFmtId="0" fontId="104" fillId="0" borderId="0" xfId="0" applyFont="1" applyFill="1" applyBorder="1" applyAlignment="1" applyProtection="1">
      <alignment horizontal="left" vertical="top" wrapText="1"/>
    </xf>
    <xf numFmtId="0" fontId="60" fillId="0" borderId="34" xfId="0" applyFont="1" applyFill="1" applyBorder="1" applyAlignment="1" applyProtection="1">
      <alignment horizontal="center" vertical="center" wrapText="1"/>
    </xf>
    <xf numFmtId="0" fontId="60" fillId="0" borderId="35" xfId="0" applyFont="1" applyFill="1" applyBorder="1" applyAlignment="1" applyProtection="1">
      <alignment horizontal="center" vertical="center" wrapText="1"/>
    </xf>
    <xf numFmtId="0" fontId="5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73" fillId="0" borderId="0" xfId="0" applyFont="1" applyFill="1" applyBorder="1" applyAlignment="1">
      <alignment horizontal="left" vertical="center" wrapText="1"/>
    </xf>
    <xf numFmtId="0" fontId="73" fillId="0" borderId="18" xfId="0" applyFont="1" applyFill="1" applyBorder="1" applyAlignment="1">
      <alignment horizontal="center" vertical="center" wrapText="1"/>
    </xf>
    <xf numFmtId="0" fontId="30" fillId="0" borderId="0" xfId="0" applyFont="1" applyFill="1" applyAlignment="1">
      <alignment horizontal="left" vertical="center" wrapText="1"/>
    </xf>
    <xf numFmtId="0" fontId="63" fillId="15" borderId="0" xfId="0" applyFont="1" applyFill="1" applyBorder="1" applyAlignment="1">
      <alignment vertical="top" wrapText="1"/>
    </xf>
    <xf numFmtId="0" fontId="63" fillId="15" borderId="2" xfId="0" applyFont="1" applyFill="1" applyBorder="1" applyAlignment="1">
      <alignment vertical="top" wrapText="1"/>
    </xf>
    <xf numFmtId="0" fontId="63" fillId="15" borderId="5" xfId="0" applyFont="1" applyFill="1" applyBorder="1" applyAlignment="1">
      <alignment vertical="top" wrapText="1"/>
    </xf>
    <xf numFmtId="0" fontId="12" fillId="3" borderId="21" xfId="0" applyFont="1" applyFill="1" applyBorder="1" applyAlignment="1">
      <alignment horizontal="center" vertical="center"/>
    </xf>
    <xf numFmtId="0" fontId="12" fillId="3" borderId="18" xfId="0" applyFont="1" applyFill="1" applyBorder="1" applyAlignment="1">
      <alignment horizontal="center" vertical="center"/>
    </xf>
    <xf numFmtId="9" fontId="12" fillId="3" borderId="36" xfId="0" applyNumberFormat="1" applyFont="1" applyFill="1" applyBorder="1" applyAlignment="1">
      <alignment horizontal="center" vertical="center"/>
    </xf>
    <xf numFmtId="9" fontId="12" fillId="3" borderId="37" xfId="0" applyNumberFormat="1" applyFont="1" applyFill="1" applyBorder="1" applyAlignment="1">
      <alignment horizontal="center" vertical="center"/>
    </xf>
    <xf numFmtId="9" fontId="12" fillId="3" borderId="51" xfId="0" applyNumberFormat="1" applyFont="1" applyFill="1" applyBorder="1" applyAlignment="1">
      <alignment horizontal="center" vertical="center"/>
    </xf>
    <xf numFmtId="9" fontId="12" fillId="3" borderId="52" xfId="0" applyNumberFormat="1" applyFont="1" applyFill="1" applyBorder="1" applyAlignment="1">
      <alignment horizontal="center" vertical="center"/>
    </xf>
    <xf numFmtId="0" fontId="62" fillId="10" borderId="20" xfId="0" applyFont="1" applyFill="1" applyBorder="1" applyAlignment="1">
      <alignment horizontal="center" vertical="top"/>
    </xf>
    <xf numFmtId="0" fontId="62" fillId="10" borderId="7" xfId="0" applyFont="1" applyFill="1" applyBorder="1" applyAlignment="1">
      <alignment horizontal="center" vertical="top"/>
    </xf>
    <xf numFmtId="0" fontId="63" fillId="15" borderId="0" xfId="0" applyFont="1" applyFill="1" applyAlignment="1">
      <alignment vertical="top" wrapText="1"/>
    </xf>
    <xf numFmtId="9" fontId="64" fillId="3" borderId="18" xfId="0" applyNumberFormat="1" applyFont="1" applyFill="1" applyBorder="1" applyAlignment="1">
      <alignment horizontal="center" vertical="center" wrapText="1"/>
    </xf>
    <xf numFmtId="9" fontId="64" fillId="3" borderId="22" xfId="0" applyNumberFormat="1" applyFont="1" applyFill="1" applyBorder="1" applyAlignment="1">
      <alignment horizontal="center" vertical="center" wrapText="1"/>
    </xf>
    <xf numFmtId="9" fontId="64" fillId="3" borderId="21" xfId="0" applyNumberFormat="1" applyFont="1" applyFill="1" applyBorder="1" applyAlignment="1">
      <alignment horizontal="center" vertical="center" wrapText="1"/>
    </xf>
    <xf numFmtId="9" fontId="64" fillId="3" borderId="53" xfId="0" applyNumberFormat="1" applyFont="1" applyFill="1" applyBorder="1" applyAlignment="1">
      <alignment horizontal="center" vertical="center" wrapText="1"/>
    </xf>
    <xf numFmtId="0" fontId="62" fillId="14" borderId="9" xfId="0" applyFont="1" applyFill="1" applyBorder="1" applyAlignment="1">
      <alignment horizontal="center" vertical="top"/>
    </xf>
    <xf numFmtId="0" fontId="62" fillId="14" borderId="20" xfId="0" applyFont="1" applyFill="1" applyBorder="1" applyAlignment="1">
      <alignment horizontal="center" vertical="top"/>
    </xf>
    <xf numFmtId="0" fontId="64" fillId="12" borderId="9" xfId="0" applyFont="1" applyFill="1" applyBorder="1" applyAlignment="1">
      <alignment horizontal="center" vertical="top"/>
    </xf>
    <xf numFmtId="0" fontId="64" fillId="12" borderId="20" xfId="0" applyFont="1" applyFill="1" applyBorder="1" applyAlignment="1">
      <alignment horizontal="center" vertical="top"/>
    </xf>
    <xf numFmtId="0" fontId="64" fillId="12" borderId="7" xfId="0" applyFont="1" applyFill="1" applyBorder="1" applyAlignment="1">
      <alignment horizontal="center" vertical="top"/>
    </xf>
    <xf numFmtId="0" fontId="62" fillId="13" borderId="20" xfId="0" applyFont="1" applyFill="1" applyBorder="1" applyAlignment="1">
      <alignment horizontal="center" vertical="top"/>
    </xf>
    <xf numFmtId="0" fontId="62" fillId="11" borderId="20" xfId="0" applyFont="1" applyFill="1" applyBorder="1" applyAlignment="1">
      <alignment horizontal="center" vertical="top"/>
    </xf>
    <xf numFmtId="0" fontId="47" fillId="9" borderId="70" xfId="0" applyFont="1" applyFill="1" applyBorder="1" applyAlignment="1" applyProtection="1">
      <alignment horizontal="center" vertical="center"/>
      <protection locked="0"/>
    </xf>
    <xf numFmtId="0" fontId="60" fillId="0" borderId="71" xfId="0" applyFont="1" applyFill="1" applyBorder="1" applyAlignment="1" applyProtection="1">
      <alignment horizontal="center" vertical="center"/>
    </xf>
    <xf numFmtId="0" fontId="60" fillId="0" borderId="35" xfId="0" applyFont="1" applyFill="1" applyBorder="1" applyAlignment="1" applyProtection="1">
      <alignment horizontal="center" vertical="center"/>
    </xf>
  </cellXfs>
  <cellStyles count="4">
    <cellStyle name="Hyperlink" xfId="3" builtinId="8"/>
    <cellStyle name="Normal" xfId="0" builtinId="0"/>
    <cellStyle name="Normal 2" xfId="2"/>
    <cellStyle name="Percent" xfId="1" builtinId="5"/>
  </cellStyles>
  <dxfs count="77">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protection locked="1" hidden="0"/>
    </dxf>
    <dxf>
      <font>
        <b/>
        <i val="0"/>
        <strike val="0"/>
        <condense val="0"/>
        <extend val="0"/>
        <outline val="0"/>
        <shadow val="0"/>
        <u val="none"/>
        <vertAlign val="baseline"/>
        <sz val="9"/>
        <color rgb="FFFF0000"/>
        <name val="Verdana"/>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fill>
        <patternFill patternType="none">
          <fgColor indexed="64"/>
          <bgColor indexed="65"/>
        </patternFill>
      </fill>
      <alignment horizontal="left"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strike val="0"/>
        <outline val="0"/>
        <shadow val="0"/>
        <u val="none"/>
        <vertAlign val="baseline"/>
        <sz val="9"/>
        <color theme="0"/>
        <name val="Verdana"/>
        <scheme val="none"/>
      </font>
      <fill>
        <patternFill patternType="solid">
          <fgColor indexed="64"/>
          <bgColor rgb="FFFF0000"/>
        </patternFill>
      </fill>
      <alignment horizontal="left" vertical="center" textRotation="0" wrapText="0" indent="0" justifyLastLine="0" shrinkToFit="0" readingOrder="0"/>
      <protection locked="0" hidden="0"/>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s>
  <tableStyles count="0" defaultTableStyle="TableStyleMedium9" defaultPivotStyle="PivotStyleLight16"/>
  <colors>
    <mruColors>
      <color rgb="FFFDECE3"/>
      <color rgb="FFE7F3FF"/>
      <color rgb="FF0058B1"/>
      <color rgb="FFD6E4F2"/>
      <color rgb="FF80ACD8"/>
      <color rgb="FFFFCCCC"/>
      <color rgb="FF026273"/>
      <color rgb="FFFFDDDD"/>
      <color rgb="FF4A8F9B"/>
      <color rgb="FFCCE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d:schema xmlns:xsd="http://www.w3.org/2001/XMLSchema" xmlns="">
      <xsd:element nillable="true" name="data-set">
        <xsd:complexType>
          <xsd:sequence minOccurs="0">
            <xsd:element minOccurs="0" maxOccurs="unbounded" nillable="true" name="record" form="unqualified">
              <xsd:complexType>
                <xsd:sequence minOccurs="0">
                  <xsd:element minOccurs="0" nillable="true" type="xsd:string" name="Practice" form="unqualified"/>
                  <xsd:element minOccurs="0" nillable="true" type="xsd:integer" name="Answer" form="unqualified"/>
                </xsd:sequence>
              </xsd:complexType>
            </xsd:element>
          </xsd:sequence>
        </xsd:complexType>
      </xsd:element>
    </xsd:schema>
  </Schema>
  <Schema ID="Schema4">
    <xsd:schema xmlns:xsd="http://www.w3.org/2001/XMLSchema" xmlns="">
      <xsd:element nillable="true" name="data-set2">
        <xsd:complexType>
          <xsd:sequence minOccurs="0">
            <xsd:element minOccurs="0" maxOccurs="unbounded" nillable="true" name="record" form="unqualified">
              <xsd:complexType>
                <xsd:sequence minOccurs="0">
                  <xsd:element minOccurs="0" nillable="true" type="xsd:string" name="Practice" form="unqualified"/>
                  <xsd:element minOccurs="0" nillable="true" type="xsd:integer" name="Answer" form="unqualified"/>
                </xsd:sequence>
              </xsd:complexType>
            </xsd:element>
          </xsd:sequence>
        </xsd:complexType>
      </xsd:element>
    </xsd:schema>
  </Schema>
  <Map ID="3" Name="data-set_Map" RootElement="data-set" SchemaID="Schema3" ShowImportExportValidationErrors="false" AutoFit="true" Append="false" PreserveSortAFLayout="true" PreserveFormat="true">
    <DataBinding FileBinding="true" ConnectionID="1" DataBindingLoadMode="1"/>
  </Map>
  <Map ID="4" Name="data-set2_Map" RootElement="data-set2" SchemaID="Schema4"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xmlMaps" Target="xmlMap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NISTMap!$AB$15</c:f>
              <c:strCache>
                <c:ptCount val="1"/>
                <c:pt idx="0">
                  <c:v>MIL0</c:v>
                </c:pt>
              </c:strCache>
            </c:strRef>
          </c:tx>
          <c:spPr>
            <a:solidFill>
              <a:srgbClr val="FDECE3"/>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NISTMap!$AB$16:$AB$20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0-666C-4775-B164-1921AF2171B9}"/>
            </c:ext>
          </c:extLst>
        </c:ser>
        <c:ser>
          <c:idx val="4"/>
          <c:order val="1"/>
          <c:tx>
            <c:strRef>
              <c:f>NISTMap!$AC$15</c:f>
              <c:strCache>
                <c:ptCount val="1"/>
                <c:pt idx="0">
                  <c:v>MIL1</c:v>
                </c:pt>
              </c:strCache>
            </c:strRef>
          </c:tx>
          <c:spPr>
            <a:solidFill>
              <a:srgbClr val="E7F3FF"/>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NISTMap!$AC$16:$AC$20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1-666C-4775-B164-1921AF2171B9}"/>
            </c:ext>
          </c:extLst>
        </c:ser>
        <c:ser>
          <c:idx val="5"/>
          <c:order val="2"/>
          <c:tx>
            <c:strRef>
              <c:f>NISTMap!$AD$15</c:f>
              <c:strCache>
                <c:ptCount val="1"/>
                <c:pt idx="0">
                  <c:v>MIl2</c:v>
                </c:pt>
              </c:strCache>
            </c:strRef>
          </c:tx>
          <c:spPr>
            <a:solidFill>
              <a:schemeClr val="bg2">
                <a:lumMod val="20000"/>
                <a:lumOff val="80000"/>
              </a:schemeClr>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NISTMap!$AD$16:$AD$20</c:f>
              <c:numCache>
                <c:formatCode>General</c:formatCode>
                <c:ptCount val="5"/>
                <c:pt idx="0">
                  <c:v>0.30000000000000004</c:v>
                </c:pt>
                <c:pt idx="1">
                  <c:v>0.30000000000000004</c:v>
                </c:pt>
                <c:pt idx="2">
                  <c:v>0.30000000000000004</c:v>
                </c:pt>
                <c:pt idx="3">
                  <c:v>0.30000000000000004</c:v>
                </c:pt>
                <c:pt idx="4">
                  <c:v>0.30000000000000004</c:v>
                </c:pt>
              </c:numCache>
            </c:numRef>
          </c:val>
          <c:extLst>
            <c:ext xmlns:c16="http://schemas.microsoft.com/office/drawing/2014/chart" uri="{C3380CC4-5D6E-409C-BE32-E72D297353CC}">
              <c16:uniqueId val="{00000002-666C-4775-B164-1921AF2171B9}"/>
            </c:ext>
          </c:extLst>
        </c:ser>
        <c:ser>
          <c:idx val="6"/>
          <c:order val="3"/>
          <c:tx>
            <c:strRef>
              <c:f>NISTMap!$AE$15</c:f>
              <c:strCache>
                <c:ptCount val="1"/>
                <c:pt idx="0">
                  <c:v>MIL3</c:v>
                </c:pt>
              </c:strCache>
            </c:strRef>
          </c:tx>
          <c:spPr>
            <a:solidFill>
              <a:schemeClr val="bg2">
                <a:lumMod val="40000"/>
                <a:lumOff val="60000"/>
              </a:schemeClr>
            </a:solidFill>
            <a:ln>
              <a:no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NISTMap!$AE$16:$AE$20</c:f>
              <c:numCache>
                <c:formatCode>General</c:formatCode>
                <c:ptCount val="5"/>
                <c:pt idx="0">
                  <c:v>9.9999999999999978E-2</c:v>
                </c:pt>
                <c:pt idx="1">
                  <c:v>9.9999999999999978E-2</c:v>
                </c:pt>
                <c:pt idx="2">
                  <c:v>9.9999999999999978E-2</c:v>
                </c:pt>
                <c:pt idx="3">
                  <c:v>9.9999999999999978E-2</c:v>
                </c:pt>
                <c:pt idx="4">
                  <c:v>9.9999999999999978E-2</c:v>
                </c:pt>
              </c:numCache>
            </c:numRef>
          </c:val>
          <c:extLst>
            <c:ext xmlns:c16="http://schemas.microsoft.com/office/drawing/2014/chart" uri="{C3380CC4-5D6E-409C-BE32-E72D297353CC}">
              <c16:uniqueId val="{00000003-666C-4775-B164-1921AF2171B9}"/>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NISTMap!$AE$2</c:f>
              <c:strCache>
                <c:ptCount val="1"/>
                <c:pt idx="0">
                  <c:v>Edellinen</c:v>
                </c:pt>
              </c:strCache>
            </c:strRef>
          </c:tx>
          <c:spPr>
            <a:solidFill>
              <a:schemeClr val="bg1">
                <a:lumMod val="75000"/>
              </a:schemeClr>
            </a:solidFill>
            <a:ln w="9525">
              <a:solidFill>
                <a:schemeClr val="tx1">
                  <a:lumMod val="50000"/>
                  <a:lumOff val="50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NISTMap!$AE$3:$AE$7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666C-4775-B164-1921AF2171B9}"/>
            </c:ext>
          </c:extLst>
        </c:ser>
        <c:ser>
          <c:idx val="1"/>
          <c:order val="5"/>
          <c:tx>
            <c:strRef>
              <c:f>NISTMap!$AD$2</c:f>
              <c:strCache>
                <c:ptCount val="1"/>
                <c:pt idx="0">
                  <c:v>Nykytila</c:v>
                </c:pt>
              </c:strCache>
            </c:strRef>
          </c:tx>
          <c:spPr>
            <a:solidFill>
              <a:schemeClr val="bg2">
                <a:lumMod val="60000"/>
                <a:lumOff val="40000"/>
              </a:schemeClr>
            </a:solidFill>
            <a:ln w="15875">
              <a:solidFill>
                <a:schemeClr val="bg2">
                  <a:lumMod val="40000"/>
                  <a:lumOff val="60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NISTMap!$AD$3:$AD$7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666C-4775-B164-1921AF2171B9}"/>
            </c:ext>
          </c:extLst>
        </c:ser>
        <c:ser>
          <c:idx val="2"/>
          <c:order val="6"/>
          <c:tx>
            <c:strRef>
              <c:f>NISTMap!$AC$2</c:f>
              <c:strCache>
                <c:ptCount val="1"/>
                <c:pt idx="0">
                  <c:v>Kyberturvallisuuden kypsyystaso</c:v>
                </c:pt>
              </c:strCache>
            </c:strRef>
          </c:tx>
          <c:spPr>
            <a:solidFill>
              <a:srgbClr val="0058B1">
                <a:alpha val="89000"/>
              </a:srgbClr>
            </a:solidFill>
            <a:ln w="15875">
              <a:solidFill>
                <a:schemeClr val="bg2">
                  <a:lumMod val="75000"/>
                </a:schemeClr>
              </a:solidFill>
            </a:ln>
            <a:effectLst/>
          </c:spPr>
          <c:invertIfNegative val="0"/>
          <c:cat>
            <c:strRef>
              <c:f>NISTMap!$AB$3:$AB$7</c:f>
              <c:strCache>
                <c:ptCount val="5"/>
                <c:pt idx="0">
                  <c:v>Tunnistaminen</c:v>
                </c:pt>
                <c:pt idx="1">
                  <c:v>Suojautuminen</c:v>
                </c:pt>
                <c:pt idx="2">
                  <c:v>Havainnointi</c:v>
                </c:pt>
                <c:pt idx="3">
                  <c:v>Reagointi</c:v>
                </c:pt>
                <c:pt idx="4">
                  <c:v>Palautuminen</c:v>
                </c:pt>
              </c:strCache>
            </c:strRef>
          </c:cat>
          <c:val>
            <c:numRef>
              <c:f>NISTMap!$AC$3:$AC$7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666C-4775-B164-1921AF2171B9}"/>
            </c:ext>
          </c:extLst>
        </c:ser>
        <c:dLbls>
          <c:showLegendKey val="0"/>
          <c:showVal val="0"/>
          <c:showCatName val="0"/>
          <c:showSerName val="0"/>
          <c:showPercent val="0"/>
          <c:showBubbleSize val="0"/>
        </c:dLbls>
        <c:gapWidth val="65"/>
        <c:overlap val="80"/>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1"/>
          <c:min val="0"/>
        </c:scaling>
        <c:delete val="1"/>
        <c:axPos val="l"/>
        <c:numFmt formatCode="General" sourceLinked="1"/>
        <c:majorTickMark val="none"/>
        <c:minorTickMark val="none"/>
        <c:tickLblPos val="high"/>
        <c:crossAx val="1856652208"/>
        <c:crosses val="autoZero"/>
        <c:crossBetween val="between"/>
        <c:majorUnit val="1"/>
      </c:valAx>
      <c:valAx>
        <c:axId val="329287672"/>
        <c:scaling>
          <c:orientation val="minMax"/>
          <c:max val="1"/>
          <c:min val="0"/>
        </c:scaling>
        <c:delete val="1"/>
        <c:axPos val="l"/>
        <c:numFmt formatCode="0%"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Data!$R$15</c:f>
              <c:strCache>
                <c:ptCount val="1"/>
                <c:pt idx="0">
                  <c:v>MIL0</c:v>
                </c:pt>
              </c:strCache>
            </c:strRef>
          </c:tx>
          <c:spPr>
            <a:solidFill>
              <a:srgbClr val="FDECE3"/>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Data!$R$16:$R$26</c:f>
              <c:numCache>
                <c:formatCode>General</c:formatCode>
                <c:ptCount val="11"/>
                <c:pt idx="0">
                  <c:v>0.8</c:v>
                </c:pt>
                <c:pt idx="1">
                  <c:v>0.8</c:v>
                </c:pt>
                <c:pt idx="2">
                  <c:v>0.8</c:v>
                </c:pt>
                <c:pt idx="3">
                  <c:v>0.8</c:v>
                </c:pt>
                <c:pt idx="4">
                  <c:v>0.8</c:v>
                </c:pt>
                <c:pt idx="5">
                  <c:v>0.8</c:v>
                </c:pt>
                <c:pt idx="6">
                  <c:v>0.8</c:v>
                </c:pt>
                <c:pt idx="7">
                  <c:v>0.8</c:v>
                </c:pt>
                <c:pt idx="8">
                  <c:v>0.8</c:v>
                </c:pt>
                <c:pt idx="9">
                  <c:v>0.8</c:v>
                </c:pt>
                <c:pt idx="10">
                  <c:v>0.8</c:v>
                </c:pt>
              </c:numCache>
            </c:numRef>
          </c:val>
          <c:extLst>
            <c:ext xmlns:c16="http://schemas.microsoft.com/office/drawing/2014/chart" uri="{C3380CC4-5D6E-409C-BE32-E72D297353CC}">
              <c16:uniqueId val="{00000003-69CF-43BB-AE21-7C322FD34A55}"/>
            </c:ext>
          </c:extLst>
        </c:ser>
        <c:ser>
          <c:idx val="4"/>
          <c:order val="1"/>
          <c:tx>
            <c:strRef>
              <c:f>Data!$S$15</c:f>
              <c:strCache>
                <c:ptCount val="1"/>
                <c:pt idx="0">
                  <c:v>MIL1</c:v>
                </c:pt>
              </c:strCache>
            </c:strRef>
          </c:tx>
          <c:spPr>
            <a:solidFill>
              <a:srgbClr val="E7F3FF"/>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Data!$S$16:$S$26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4-69CF-43BB-AE21-7C322FD34A55}"/>
            </c:ext>
          </c:extLst>
        </c:ser>
        <c:ser>
          <c:idx val="5"/>
          <c:order val="2"/>
          <c:tx>
            <c:strRef>
              <c:f>Data!$T$15</c:f>
              <c:strCache>
                <c:ptCount val="1"/>
                <c:pt idx="0">
                  <c:v>MIl2</c:v>
                </c:pt>
              </c:strCache>
            </c:strRef>
          </c:tx>
          <c:spPr>
            <a:solidFill>
              <a:schemeClr val="bg2">
                <a:lumMod val="20000"/>
                <a:lumOff val="80000"/>
              </a:schemeClr>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Data!$T$16:$T$26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5-69CF-43BB-AE21-7C322FD34A55}"/>
            </c:ext>
          </c:extLst>
        </c:ser>
        <c:ser>
          <c:idx val="6"/>
          <c:order val="3"/>
          <c:tx>
            <c:strRef>
              <c:f>Data!$U$15</c:f>
              <c:strCache>
                <c:ptCount val="1"/>
                <c:pt idx="0">
                  <c:v>MIL3</c:v>
                </c:pt>
              </c:strCache>
            </c:strRef>
          </c:tx>
          <c:spPr>
            <a:solidFill>
              <a:schemeClr val="bg2">
                <a:lumMod val="40000"/>
                <a:lumOff val="60000"/>
              </a:schemeClr>
            </a:solidFill>
            <a:ln>
              <a:noFill/>
            </a:ln>
            <a:effectLst/>
          </c:spPr>
          <c:invertIfNegative val="0"/>
          <c:cat>
            <c:strRef>
              <c:f>Data!$R$3:$R$13</c:f>
              <c:strCache>
                <c:ptCount val="11"/>
                <c:pt idx="0">
                  <c:v>Kriittiset
palvelut</c:v>
                </c:pt>
                <c:pt idx="1">
                  <c:v>Riskien
hallinta</c:v>
                </c:pt>
                <c:pt idx="2">
                  <c:v>Toimitus
ketjut</c:v>
                </c:pt>
                <c:pt idx="3">
                  <c:v>Laiteet
ja tieto</c:v>
                </c:pt>
                <c:pt idx="4">
                  <c:v>Pääsyn
hallinta</c:v>
                </c:pt>
                <c:pt idx="5">
                  <c:v>Kyberuhat</c:v>
                </c:pt>
                <c:pt idx="6">
                  <c:v>Tilannekuva</c:v>
                </c:pt>
                <c:pt idx="7">
                  <c:v>Kyber
häiriöt</c:v>
                </c:pt>
                <c:pt idx="8">
                  <c:v>Henkilöstö</c:v>
                </c:pt>
                <c:pt idx="9">
                  <c:v>Kyber
arkkitehtuuri</c:v>
                </c:pt>
                <c:pt idx="10">
                  <c:v>Kehitys
ohjelma</c:v>
                </c:pt>
              </c:strCache>
            </c:strRef>
          </c:cat>
          <c:val>
            <c:numRef>
              <c:f>Data!$U$16:$U$26</c:f>
              <c:numCache>
                <c:formatCode>General</c:formatCode>
                <c:ptCount val="11"/>
                <c:pt idx="0">
                  <c:v>0.5</c:v>
                </c:pt>
                <c:pt idx="1">
                  <c:v>0.5</c:v>
                </c:pt>
                <c:pt idx="2">
                  <c:v>0.5</c:v>
                </c:pt>
                <c:pt idx="3">
                  <c:v>0.5</c:v>
                </c:pt>
                <c:pt idx="4">
                  <c:v>0.5</c:v>
                </c:pt>
                <c:pt idx="5">
                  <c:v>0.5</c:v>
                </c:pt>
                <c:pt idx="6">
                  <c:v>0.5</c:v>
                </c:pt>
                <c:pt idx="7">
                  <c:v>0.5</c:v>
                </c:pt>
                <c:pt idx="8">
                  <c:v>0.5</c:v>
                </c:pt>
                <c:pt idx="9">
                  <c:v>0.5</c:v>
                </c:pt>
                <c:pt idx="10">
                  <c:v>0.5</c:v>
                </c:pt>
              </c:numCache>
            </c:numRef>
          </c:val>
          <c:extLst>
            <c:ext xmlns:c16="http://schemas.microsoft.com/office/drawing/2014/chart" uri="{C3380CC4-5D6E-409C-BE32-E72D297353CC}">
              <c16:uniqueId val="{00000006-69CF-43BB-AE21-7C322FD34A55}"/>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Data!$U$2</c:f>
              <c:strCache>
                <c:ptCount val="1"/>
                <c:pt idx="0">
                  <c:v>Edellinen</c:v>
                </c:pt>
              </c:strCache>
            </c:strRef>
          </c:tx>
          <c:spPr>
            <a:solidFill>
              <a:schemeClr val="bg1">
                <a:lumMod val="75000"/>
              </a:schemeClr>
            </a:solidFill>
            <a:ln w="9525">
              <a:solidFill>
                <a:schemeClr val="tx1">
                  <a:lumMod val="50000"/>
                  <a:lumOff val="50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Data!$U$3:$U$13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7D8-412C-AE0C-62A8143B0BCA}"/>
            </c:ext>
          </c:extLst>
        </c:ser>
        <c:ser>
          <c:idx val="1"/>
          <c:order val="5"/>
          <c:tx>
            <c:strRef>
              <c:f>Data!$T$2</c:f>
              <c:strCache>
                <c:ptCount val="1"/>
                <c:pt idx="0">
                  <c:v>Nykytila</c:v>
                </c:pt>
              </c:strCache>
            </c:strRef>
          </c:tx>
          <c:spPr>
            <a:solidFill>
              <a:schemeClr val="bg2">
                <a:lumMod val="60000"/>
                <a:lumOff val="40000"/>
              </a:schemeClr>
            </a:solidFill>
            <a:ln w="15875">
              <a:solidFill>
                <a:schemeClr val="bg2">
                  <a:lumMod val="60000"/>
                  <a:lumOff val="40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Data!$T$3:$T$13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9CF-43BB-AE21-7C322FD34A55}"/>
            </c:ext>
          </c:extLst>
        </c:ser>
        <c:ser>
          <c:idx val="2"/>
          <c:order val="6"/>
          <c:tx>
            <c:strRef>
              <c:f>Data!$S$2</c:f>
              <c:strCache>
                <c:ptCount val="1"/>
                <c:pt idx="0">
                  <c:v>Kyberturvallisuuden kypsyystaso</c:v>
                </c:pt>
              </c:strCache>
            </c:strRef>
          </c:tx>
          <c:spPr>
            <a:solidFill>
              <a:srgbClr val="0058B1">
                <a:alpha val="89000"/>
              </a:srgbClr>
            </a:solidFill>
            <a:ln w="15875">
              <a:solidFill>
                <a:schemeClr val="bg2">
                  <a:lumMod val="75000"/>
                </a:schemeClr>
              </a:solidFill>
            </a:ln>
            <a:effectLst/>
          </c:spPr>
          <c:invertIfNegative val="0"/>
          <c:cat>
            <c:strRef>
              <c:f>Data!$Q$3:$Q$13</c:f>
              <c:strCache>
                <c:ptCount val="11"/>
                <c:pt idx="0">
                  <c:v>CRITICAL</c:v>
                </c:pt>
                <c:pt idx="1">
                  <c:v>RISK</c:v>
                </c:pt>
                <c:pt idx="2">
                  <c:v>DEPENDENCIES</c:v>
                </c:pt>
                <c:pt idx="3">
                  <c:v>ASSET</c:v>
                </c:pt>
                <c:pt idx="4">
                  <c:v>ACCESS</c:v>
                </c:pt>
                <c:pt idx="5">
                  <c:v>THREAT</c:v>
                </c:pt>
                <c:pt idx="6">
                  <c:v>SITUATION</c:v>
                </c:pt>
                <c:pt idx="7">
                  <c:v>RESPONSE</c:v>
                </c:pt>
                <c:pt idx="8">
                  <c:v>WORKFORCE</c:v>
                </c:pt>
                <c:pt idx="9">
                  <c:v>ARCHITECTURE</c:v>
                </c:pt>
                <c:pt idx="10">
                  <c:v>PROGRAM</c:v>
                </c:pt>
              </c:strCache>
            </c:strRef>
          </c:cat>
          <c:val>
            <c:numRef>
              <c:f>Data!$S$3:$S$13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9CF-43BB-AE21-7C322FD34A55}"/>
            </c:ext>
          </c:extLst>
        </c:ser>
        <c:dLbls>
          <c:showLegendKey val="0"/>
          <c:showVal val="0"/>
          <c:showCatName val="0"/>
          <c:showSerName val="0"/>
          <c:showPercent val="0"/>
          <c:showBubbleSize val="0"/>
        </c:dLbls>
        <c:gapWidth val="65"/>
        <c:overlap val="65"/>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3.2"/>
          <c:min val="0"/>
        </c:scaling>
        <c:delete val="1"/>
        <c:axPos val="l"/>
        <c:numFmt formatCode="General" sourceLinked="1"/>
        <c:majorTickMark val="none"/>
        <c:minorTickMark val="none"/>
        <c:tickLblPos val="high"/>
        <c:crossAx val="1856652208"/>
        <c:crosses val="autoZero"/>
        <c:crossBetween val="between"/>
        <c:majorUnit val="1"/>
      </c:valAx>
      <c:valAx>
        <c:axId val="329287672"/>
        <c:scaling>
          <c:orientation val="minMax"/>
          <c:max val="3.2"/>
          <c:min val="0"/>
        </c:scaling>
        <c:delete val="1"/>
        <c:axPos val="l"/>
        <c:numFmt formatCode="General"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1555057</xdr:colOff>
      <xdr:row>2</xdr:row>
      <xdr:rowOff>87092</xdr:rowOff>
    </xdr:from>
    <xdr:to>
      <xdr:col>9</xdr:col>
      <xdr:colOff>438365</xdr:colOff>
      <xdr:row>4</xdr:row>
      <xdr:rowOff>72571</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157" y="379192"/>
          <a:ext cx="1607458" cy="4680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2465294</xdr:colOff>
      <xdr:row>1</xdr:row>
      <xdr:rowOff>171824</xdr:rowOff>
    </xdr:from>
    <xdr:to>
      <xdr:col>10</xdr:col>
      <xdr:colOff>14194</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21236"/>
          <a:ext cx="1605429" cy="4785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2457823</xdr:colOff>
      <xdr:row>1</xdr:row>
      <xdr:rowOff>171824</xdr:rowOff>
    </xdr:from>
    <xdr:to>
      <xdr:col>10</xdr:col>
      <xdr:colOff>6723</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5647" y="321236"/>
          <a:ext cx="1605429" cy="4785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2502647</xdr:colOff>
      <xdr:row>1</xdr:row>
      <xdr:rowOff>149411</xdr:rowOff>
    </xdr:from>
    <xdr:to>
      <xdr:col>10</xdr:col>
      <xdr:colOff>51547</xdr:colOff>
      <xdr:row>2</xdr:row>
      <xdr:rowOff>306713</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40471" y="298823"/>
          <a:ext cx="1605429" cy="4785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664882</xdr:colOff>
      <xdr:row>1</xdr:row>
      <xdr:rowOff>119529</xdr:rowOff>
    </xdr:from>
    <xdr:to>
      <xdr:col>12</xdr:col>
      <xdr:colOff>29135</xdr:colOff>
      <xdr:row>2</xdr:row>
      <xdr:rowOff>276831</xdr:rowOff>
    </xdr:to>
    <xdr:pic>
      <xdr:nvPicPr>
        <xdr:cNvPr id="3" name="Picture 2"/>
        <xdr:cNvPicPr>
          <a:picLocks noChangeAspect="1"/>
        </xdr:cNvPicPr>
      </xdr:nvPicPr>
      <xdr:blipFill>
        <a:blip xmlns:r="http://schemas.openxmlformats.org/officeDocument/2006/relationships" r:embed="rId1"/>
        <a:stretch>
          <a:fillRect/>
        </a:stretch>
      </xdr:blipFill>
      <xdr:spPr>
        <a:xfrm>
          <a:off x="9166411" y="268941"/>
          <a:ext cx="1605429" cy="4785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1165653</xdr:colOff>
      <xdr:row>1</xdr:row>
      <xdr:rowOff>197824</xdr:rowOff>
    </xdr:from>
    <xdr:to>
      <xdr:col>13</xdr:col>
      <xdr:colOff>1336</xdr:colOff>
      <xdr:row>3</xdr:row>
      <xdr:rowOff>222645</xdr:rowOff>
    </xdr:to>
    <xdr:pic>
      <xdr:nvPicPr>
        <xdr:cNvPr id="2" name="Picture 1"/>
        <xdr:cNvPicPr>
          <a:picLocks noChangeAspect="1"/>
        </xdr:cNvPicPr>
      </xdr:nvPicPr>
      <xdr:blipFill>
        <a:blip xmlns:r="http://schemas.openxmlformats.org/officeDocument/2006/relationships" r:embed="rId1"/>
        <a:stretch>
          <a:fillRect/>
        </a:stretch>
      </xdr:blipFill>
      <xdr:spPr>
        <a:xfrm>
          <a:off x="8718418" y="377118"/>
          <a:ext cx="1614742" cy="4879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44820</xdr:colOff>
      <xdr:row>5</xdr:row>
      <xdr:rowOff>231588</xdr:rowOff>
    </xdr:from>
    <xdr:to>
      <xdr:col>10</xdr:col>
      <xdr:colOff>3173</xdr:colOff>
      <xdr:row>6</xdr:row>
      <xdr:rowOff>3757588</xdr:rowOff>
    </xdr:to>
    <xdr:graphicFrame macro="">
      <xdr:nvGraphicFramePr>
        <xdr:cNvPr id="5" name="Chart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7816849</xdr:colOff>
      <xdr:row>6</xdr:row>
      <xdr:rowOff>2585357</xdr:rowOff>
    </xdr:from>
    <xdr:to>
      <xdr:col>10</xdr:col>
      <xdr:colOff>3492</xdr:colOff>
      <xdr:row>6</xdr:row>
      <xdr:rowOff>2945357</xdr:rowOff>
    </xdr:to>
    <xdr:sp macro="" textlink="">
      <xdr:nvSpPr>
        <xdr:cNvPr id="2" name="Rectangle 1"/>
        <xdr:cNvSpPr/>
      </xdr:nvSpPr>
      <xdr:spPr>
        <a:xfrm>
          <a:off x="12452349" y="4127500"/>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0</a:t>
          </a:r>
        </a:p>
      </xdr:txBody>
    </xdr:sp>
    <xdr:clientData/>
  </xdr:twoCellAnchor>
  <xdr:twoCellAnchor>
    <xdr:from>
      <xdr:col>8</xdr:col>
      <xdr:colOff>7816849</xdr:colOff>
      <xdr:row>6</xdr:row>
      <xdr:rowOff>1649186</xdr:rowOff>
    </xdr:from>
    <xdr:to>
      <xdr:col>10</xdr:col>
      <xdr:colOff>3492</xdr:colOff>
      <xdr:row>6</xdr:row>
      <xdr:rowOff>2009186</xdr:rowOff>
    </xdr:to>
    <xdr:sp macro="" textlink="">
      <xdr:nvSpPr>
        <xdr:cNvPr id="6" name="Rectangle 5"/>
        <xdr:cNvSpPr/>
      </xdr:nvSpPr>
      <xdr:spPr>
        <a:xfrm>
          <a:off x="12452349" y="3191329"/>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1</a:t>
          </a:r>
        </a:p>
      </xdr:txBody>
    </xdr:sp>
    <xdr:clientData/>
  </xdr:twoCellAnchor>
  <xdr:twoCellAnchor>
    <xdr:from>
      <xdr:col>8</xdr:col>
      <xdr:colOff>7816849</xdr:colOff>
      <xdr:row>6</xdr:row>
      <xdr:rowOff>676729</xdr:rowOff>
    </xdr:from>
    <xdr:to>
      <xdr:col>10</xdr:col>
      <xdr:colOff>3492</xdr:colOff>
      <xdr:row>6</xdr:row>
      <xdr:rowOff>1036729</xdr:rowOff>
    </xdr:to>
    <xdr:sp macro="" textlink="">
      <xdr:nvSpPr>
        <xdr:cNvPr id="7" name="Rectangle 6"/>
        <xdr:cNvSpPr/>
      </xdr:nvSpPr>
      <xdr:spPr>
        <a:xfrm>
          <a:off x="12452349" y="2218872"/>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2</a:t>
          </a:r>
        </a:p>
      </xdr:txBody>
    </xdr:sp>
    <xdr:clientData/>
  </xdr:twoCellAnchor>
  <xdr:twoCellAnchor>
    <xdr:from>
      <xdr:col>8</xdr:col>
      <xdr:colOff>7816849</xdr:colOff>
      <xdr:row>5</xdr:row>
      <xdr:rowOff>248558</xdr:rowOff>
    </xdr:from>
    <xdr:to>
      <xdr:col>10</xdr:col>
      <xdr:colOff>3492</xdr:colOff>
      <xdr:row>6</xdr:row>
      <xdr:rowOff>354558</xdr:rowOff>
    </xdr:to>
    <xdr:sp macro="" textlink="">
      <xdr:nvSpPr>
        <xdr:cNvPr id="8" name="Rectangle 7"/>
        <xdr:cNvSpPr/>
      </xdr:nvSpPr>
      <xdr:spPr>
        <a:xfrm>
          <a:off x="12452349" y="1536701"/>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3</a:t>
          </a:r>
        </a:p>
      </xdr:txBody>
    </xdr:sp>
    <xdr:clientData/>
  </xdr:twoCellAnchor>
  <xdr:twoCellAnchor>
    <xdr:from>
      <xdr:col>6</xdr:col>
      <xdr:colOff>471714</xdr:colOff>
      <xdr:row>7</xdr:row>
      <xdr:rowOff>181429</xdr:rowOff>
    </xdr:from>
    <xdr:to>
      <xdr:col>6</xdr:col>
      <xdr:colOff>651714</xdr:colOff>
      <xdr:row>7</xdr:row>
      <xdr:rowOff>361429</xdr:rowOff>
    </xdr:to>
    <xdr:sp macro="" textlink="Parameters!B11">
      <xdr:nvSpPr>
        <xdr:cNvPr id="13" name="Rectangle 12"/>
        <xdr:cNvSpPr/>
      </xdr:nvSpPr>
      <xdr:spPr>
        <a:xfrm>
          <a:off x="4191000" y="5533572"/>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5DFD69B-3CCC-4861-83BE-76D606C4EA8C}"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8</xdr:col>
      <xdr:colOff>2306862</xdr:colOff>
      <xdr:row>7</xdr:row>
      <xdr:rowOff>181429</xdr:rowOff>
    </xdr:from>
    <xdr:to>
      <xdr:col>8</xdr:col>
      <xdr:colOff>2486862</xdr:colOff>
      <xdr:row>7</xdr:row>
      <xdr:rowOff>361429</xdr:rowOff>
    </xdr:to>
    <xdr:sp macro="" textlink="Parameters!B12">
      <xdr:nvSpPr>
        <xdr:cNvPr id="14" name="Rectangle 13"/>
        <xdr:cNvSpPr/>
      </xdr:nvSpPr>
      <xdr:spPr>
        <a:xfrm>
          <a:off x="6942362" y="5533572"/>
          <a:ext cx="180000"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3D67FDEE-A73C-43CA-BF4C-F6CC8DEF18AB}"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8</xdr:col>
      <xdr:colOff>5602516</xdr:colOff>
      <xdr:row>7</xdr:row>
      <xdr:rowOff>181429</xdr:rowOff>
    </xdr:from>
    <xdr:to>
      <xdr:col>8</xdr:col>
      <xdr:colOff>5782516</xdr:colOff>
      <xdr:row>7</xdr:row>
      <xdr:rowOff>361429</xdr:rowOff>
    </xdr:to>
    <xdr:sp macro="" textlink="Parameters!B13">
      <xdr:nvSpPr>
        <xdr:cNvPr id="15" name="Rectangle 14"/>
        <xdr:cNvSpPr/>
      </xdr:nvSpPr>
      <xdr:spPr>
        <a:xfrm>
          <a:off x="10238016" y="5533572"/>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2CC646E1-B3CB-4EA8-928B-A6A9087BF30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oneCellAnchor>
    <xdr:from>
      <xdr:col>8</xdr:col>
      <xdr:colOff>6518729</xdr:colOff>
      <xdr:row>2</xdr:row>
      <xdr:rowOff>88900</xdr:rowOff>
    </xdr:from>
    <xdr:ext cx="1680777" cy="382053"/>
    <xdr:pic>
      <xdr:nvPicPr>
        <xdr:cNvPr id="16" name="Picture 15"/>
        <xdr:cNvPicPr>
          <a:picLocks noChangeAspect="1"/>
        </xdr:cNvPicPr>
      </xdr:nvPicPr>
      <xdr:blipFill>
        <a:blip xmlns:r="http://schemas.openxmlformats.org/officeDocument/2006/relationships" r:embed="rId2"/>
        <a:stretch>
          <a:fillRect/>
        </a:stretch>
      </xdr:blipFill>
      <xdr:spPr>
        <a:xfrm>
          <a:off x="11154229" y="488950"/>
          <a:ext cx="1680777" cy="38205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4239120</xdr:colOff>
      <xdr:row>2</xdr:row>
      <xdr:rowOff>70972</xdr:rowOff>
    </xdr:from>
    <xdr:ext cx="1680777" cy="382053"/>
    <xdr:pic>
      <xdr:nvPicPr>
        <xdr:cNvPr id="2" name="Picture 1"/>
        <xdr:cNvPicPr>
          <a:picLocks noChangeAspect="1"/>
        </xdr:cNvPicPr>
      </xdr:nvPicPr>
      <xdr:blipFill>
        <a:blip xmlns:r="http://schemas.openxmlformats.org/officeDocument/2006/relationships" r:embed="rId1"/>
        <a:stretch>
          <a:fillRect/>
        </a:stretch>
      </xdr:blipFill>
      <xdr:spPr>
        <a:xfrm>
          <a:off x="11151549" y="524543"/>
          <a:ext cx="1680777" cy="382053"/>
        </a:xfrm>
        <a:prstGeom prst="rect">
          <a:avLst/>
        </a:prstGeom>
      </xdr:spPr>
    </xdr:pic>
    <xdr:clientData/>
  </xdr:oneCellAnchor>
  <xdr:twoCellAnchor>
    <xdr:from>
      <xdr:col>2</xdr:col>
      <xdr:colOff>154214</xdr:colOff>
      <xdr:row>5</xdr:row>
      <xdr:rowOff>478972</xdr:rowOff>
    </xdr:from>
    <xdr:to>
      <xdr:col>7</xdr:col>
      <xdr:colOff>1272643</xdr:colOff>
      <xdr:row>6</xdr:row>
      <xdr:rowOff>3750972</xdr:rowOff>
    </xdr:to>
    <xdr:graphicFrame macro="">
      <xdr:nvGraphicFramePr>
        <xdr:cNvPr id="6" name="Chart 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52610</xdr:colOff>
      <xdr:row>41</xdr:row>
      <xdr:rowOff>129719</xdr:rowOff>
    </xdr:from>
    <xdr:to>
      <xdr:col>3</xdr:col>
      <xdr:colOff>232610</xdr:colOff>
      <xdr:row>41</xdr:row>
      <xdr:rowOff>309719</xdr:rowOff>
    </xdr:to>
    <xdr:sp macro="" textlink="Parameters!B14">
      <xdr:nvSpPr>
        <xdr:cNvPr id="19" name="Rectangle 18"/>
        <xdr:cNvSpPr/>
      </xdr:nvSpPr>
      <xdr:spPr>
        <a:xfrm>
          <a:off x="578753" y="14181362"/>
          <a:ext cx="180000" cy="180000"/>
        </a:xfrm>
        <a:prstGeom prst="rect">
          <a:avLst/>
        </a:prstGeom>
        <a:solidFill>
          <a:srgbClr val="FDECE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251EE8D8-1C2C-41D2-A6C2-2716C3FD3AA8}" type="TxLink">
            <a:rPr lang="en-US" sz="1200" b="0" i="0" u="none" strike="noStrike" dirty="0" err="1" smtClean="0">
              <a:solidFill>
                <a:srgbClr val="0058B1"/>
              </a:solidFill>
              <a:latin typeface="Verdana"/>
              <a:ea typeface="Verdana"/>
            </a:rPr>
            <a:pPr algn="l"/>
            <a:t>Kypsyystaso 0</a:t>
          </a:fld>
          <a:endParaRPr lang="en-US" dirty="0" err="1" smtClean="0"/>
        </a:p>
      </xdr:txBody>
    </xdr:sp>
    <xdr:clientData/>
  </xdr:twoCellAnchor>
  <xdr:twoCellAnchor>
    <xdr:from>
      <xdr:col>3</xdr:col>
      <xdr:colOff>1898949</xdr:colOff>
      <xdr:row>41</xdr:row>
      <xdr:rowOff>129719</xdr:rowOff>
    </xdr:from>
    <xdr:to>
      <xdr:col>3</xdr:col>
      <xdr:colOff>2078949</xdr:colOff>
      <xdr:row>41</xdr:row>
      <xdr:rowOff>309719</xdr:rowOff>
    </xdr:to>
    <xdr:sp macro="" textlink="Parameters!B15">
      <xdr:nvSpPr>
        <xdr:cNvPr id="20" name="Rectangle 19"/>
        <xdr:cNvSpPr/>
      </xdr:nvSpPr>
      <xdr:spPr>
        <a:xfrm>
          <a:off x="2425092" y="14081576"/>
          <a:ext cx="180000" cy="180000"/>
        </a:xfrm>
        <a:prstGeom prst="rect">
          <a:avLst/>
        </a:prstGeom>
        <a:solidFill>
          <a:srgbClr val="E7F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1907CDBE-9F1F-4A0C-814C-0B93D1F43A19}" type="TxLink">
            <a:rPr lang="en-US" sz="1200" b="0" i="0" u="none" strike="noStrike" dirty="0" err="1" smtClean="0">
              <a:solidFill>
                <a:srgbClr val="0058B1"/>
              </a:solidFill>
              <a:latin typeface="Verdana"/>
              <a:ea typeface="Verdana"/>
            </a:rPr>
            <a:pPr algn="l"/>
            <a:t>Kypsyystaso 1</a:t>
          </a:fld>
          <a:endParaRPr lang="fi-FI" sz="1100" dirty="0" err="1" smtClean="0">
            <a:solidFill>
              <a:srgbClr val="0058B1"/>
            </a:solidFill>
            <a:latin typeface="+mj-lt"/>
          </a:endParaRPr>
        </a:p>
      </xdr:txBody>
    </xdr:sp>
    <xdr:clientData/>
  </xdr:twoCellAnchor>
  <xdr:twoCellAnchor>
    <xdr:from>
      <xdr:col>3</xdr:col>
      <xdr:colOff>3745288</xdr:colOff>
      <xdr:row>41</xdr:row>
      <xdr:rowOff>129719</xdr:rowOff>
    </xdr:from>
    <xdr:to>
      <xdr:col>3</xdr:col>
      <xdr:colOff>3925288</xdr:colOff>
      <xdr:row>41</xdr:row>
      <xdr:rowOff>309719</xdr:rowOff>
    </xdr:to>
    <xdr:sp macro="" textlink="Parameters!B16">
      <xdr:nvSpPr>
        <xdr:cNvPr id="21" name="Rectangle 20"/>
        <xdr:cNvSpPr/>
      </xdr:nvSpPr>
      <xdr:spPr>
        <a:xfrm>
          <a:off x="4271431" y="14081576"/>
          <a:ext cx="180000" cy="180000"/>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3360F72B-A86B-4A08-8B0D-97C8F825A06B}" type="TxLink">
            <a:rPr lang="en-US" sz="1200" b="0" i="0" u="none" strike="noStrike" dirty="0" err="1" smtClean="0">
              <a:solidFill>
                <a:srgbClr val="0058B1"/>
              </a:solidFill>
              <a:latin typeface="Verdana"/>
              <a:ea typeface="Verdana"/>
            </a:rPr>
            <a:pPr algn="l"/>
            <a:t>Kypsyystaso 2</a:t>
          </a:fld>
          <a:endParaRPr lang="fi-FI" sz="1100" dirty="0" err="1" smtClean="0">
            <a:solidFill>
              <a:srgbClr val="0058B1"/>
            </a:solidFill>
            <a:latin typeface="+mj-lt"/>
          </a:endParaRPr>
        </a:p>
      </xdr:txBody>
    </xdr:sp>
    <xdr:clientData/>
  </xdr:twoCellAnchor>
  <xdr:twoCellAnchor>
    <xdr:from>
      <xdr:col>4</xdr:col>
      <xdr:colOff>1092198</xdr:colOff>
      <xdr:row>41</xdr:row>
      <xdr:rowOff>129719</xdr:rowOff>
    </xdr:from>
    <xdr:to>
      <xdr:col>4</xdr:col>
      <xdr:colOff>1272198</xdr:colOff>
      <xdr:row>41</xdr:row>
      <xdr:rowOff>309719</xdr:rowOff>
    </xdr:to>
    <xdr:sp macro="" textlink="Parameters!B17">
      <xdr:nvSpPr>
        <xdr:cNvPr id="22" name="Rectangle 21"/>
        <xdr:cNvSpPr/>
      </xdr:nvSpPr>
      <xdr:spPr>
        <a:xfrm>
          <a:off x="6117769" y="14181362"/>
          <a:ext cx="180000" cy="180000"/>
        </a:xfrm>
        <a:prstGeom prst="rect">
          <a:avLst/>
        </a:prstGeom>
        <a:solidFill>
          <a:schemeClr val="bg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C6649E6B-A329-4F57-8B60-AB99E2ED6461}" type="TxLink">
            <a:rPr lang="en-US" sz="1200" b="0" i="0" u="none" strike="noStrike" dirty="0" err="1" smtClean="0">
              <a:solidFill>
                <a:srgbClr val="0058B1"/>
              </a:solidFill>
              <a:latin typeface="Verdana"/>
              <a:ea typeface="Verdana"/>
            </a:rPr>
            <a:pPr algn="l"/>
            <a:t>Kypsyystaso 3</a:t>
          </a:fld>
          <a:endParaRPr lang="fi-FI" sz="1100" dirty="0" err="1" smtClean="0">
            <a:solidFill>
              <a:srgbClr val="0058B1"/>
            </a:solidFill>
            <a:latin typeface="+mj-lt"/>
          </a:endParaRPr>
        </a:p>
      </xdr:txBody>
    </xdr:sp>
    <xdr:clientData/>
  </xdr:twoCellAnchor>
  <xdr:twoCellAnchor>
    <xdr:from>
      <xdr:col>3</xdr:col>
      <xdr:colOff>3565071</xdr:colOff>
      <xdr:row>7</xdr:row>
      <xdr:rowOff>142416</xdr:rowOff>
    </xdr:from>
    <xdr:to>
      <xdr:col>3</xdr:col>
      <xdr:colOff>3745071</xdr:colOff>
      <xdr:row>7</xdr:row>
      <xdr:rowOff>322416</xdr:rowOff>
    </xdr:to>
    <xdr:sp macro="" textlink="Parameters!B11">
      <xdr:nvSpPr>
        <xdr:cNvPr id="23" name="Rectangle 22"/>
        <xdr:cNvSpPr/>
      </xdr:nvSpPr>
      <xdr:spPr>
        <a:xfrm>
          <a:off x="4091214" y="5394773"/>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EEF7064-1644-4025-A29A-507DA3849281}"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5</xdr:col>
      <xdr:colOff>429076</xdr:colOff>
      <xdr:row>7</xdr:row>
      <xdr:rowOff>142416</xdr:rowOff>
    </xdr:from>
    <xdr:to>
      <xdr:col>6</xdr:col>
      <xdr:colOff>110147</xdr:colOff>
      <xdr:row>7</xdr:row>
      <xdr:rowOff>322416</xdr:rowOff>
    </xdr:to>
    <xdr:sp macro="" textlink="Parameters!B12">
      <xdr:nvSpPr>
        <xdr:cNvPr id="24" name="Rectangle 23"/>
        <xdr:cNvSpPr/>
      </xdr:nvSpPr>
      <xdr:spPr>
        <a:xfrm>
          <a:off x="6842576" y="5394773"/>
          <a:ext cx="180000"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0BF44093-533C-47FD-8E21-4107FA9DC163}"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6</xdr:col>
      <xdr:colOff>3225801</xdr:colOff>
      <xdr:row>7</xdr:row>
      <xdr:rowOff>142416</xdr:rowOff>
    </xdr:from>
    <xdr:to>
      <xdr:col>6</xdr:col>
      <xdr:colOff>3405801</xdr:colOff>
      <xdr:row>7</xdr:row>
      <xdr:rowOff>322416</xdr:rowOff>
    </xdr:to>
    <xdr:sp macro="" textlink="Parameters!B13">
      <xdr:nvSpPr>
        <xdr:cNvPr id="25" name="Rectangle 24"/>
        <xdr:cNvSpPr/>
      </xdr:nvSpPr>
      <xdr:spPr>
        <a:xfrm>
          <a:off x="10138230" y="5394773"/>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D0E14ED9-5FE7-42BC-A5F3-0B2E4847617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twoCellAnchor>
    <xdr:from>
      <xdr:col>7</xdr:col>
      <xdr:colOff>1152075</xdr:colOff>
      <xdr:row>6</xdr:row>
      <xdr:rowOff>2645225</xdr:rowOff>
    </xdr:from>
    <xdr:to>
      <xdr:col>8</xdr:col>
      <xdr:colOff>124146</xdr:colOff>
      <xdr:row>6</xdr:row>
      <xdr:rowOff>3005225</xdr:rowOff>
    </xdr:to>
    <xdr:sp macro="" textlink="">
      <xdr:nvSpPr>
        <xdr:cNvPr id="12" name="Rectangle 11"/>
        <xdr:cNvSpPr/>
      </xdr:nvSpPr>
      <xdr:spPr>
        <a:xfrm>
          <a:off x="12563932" y="4214582"/>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0</a:t>
          </a:r>
        </a:p>
      </xdr:txBody>
    </xdr:sp>
    <xdr:clientData/>
  </xdr:twoCellAnchor>
  <xdr:twoCellAnchor>
    <xdr:from>
      <xdr:col>7</xdr:col>
      <xdr:colOff>1152075</xdr:colOff>
      <xdr:row>6</xdr:row>
      <xdr:rowOff>1727196</xdr:rowOff>
    </xdr:from>
    <xdr:to>
      <xdr:col>8</xdr:col>
      <xdr:colOff>124146</xdr:colOff>
      <xdr:row>6</xdr:row>
      <xdr:rowOff>2087196</xdr:rowOff>
    </xdr:to>
    <xdr:sp macro="" textlink="">
      <xdr:nvSpPr>
        <xdr:cNvPr id="13" name="Rectangle 12"/>
        <xdr:cNvSpPr/>
      </xdr:nvSpPr>
      <xdr:spPr>
        <a:xfrm>
          <a:off x="12563932" y="329655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1</a:t>
          </a:r>
        </a:p>
      </xdr:txBody>
    </xdr:sp>
    <xdr:clientData/>
  </xdr:twoCellAnchor>
  <xdr:twoCellAnchor>
    <xdr:from>
      <xdr:col>7</xdr:col>
      <xdr:colOff>1152075</xdr:colOff>
      <xdr:row>6</xdr:row>
      <xdr:rowOff>754739</xdr:rowOff>
    </xdr:from>
    <xdr:to>
      <xdr:col>8</xdr:col>
      <xdr:colOff>124146</xdr:colOff>
      <xdr:row>6</xdr:row>
      <xdr:rowOff>1114739</xdr:rowOff>
    </xdr:to>
    <xdr:sp macro="" textlink="">
      <xdr:nvSpPr>
        <xdr:cNvPr id="14" name="Rectangle 13"/>
        <xdr:cNvSpPr/>
      </xdr:nvSpPr>
      <xdr:spPr>
        <a:xfrm>
          <a:off x="12563932" y="2324096"/>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2</a:t>
          </a:r>
        </a:p>
      </xdr:txBody>
    </xdr:sp>
    <xdr:clientData/>
  </xdr:twoCellAnchor>
  <xdr:twoCellAnchor>
    <xdr:from>
      <xdr:col>7</xdr:col>
      <xdr:colOff>1152075</xdr:colOff>
      <xdr:row>6</xdr:row>
      <xdr:rowOff>54426</xdr:rowOff>
    </xdr:from>
    <xdr:to>
      <xdr:col>8</xdr:col>
      <xdr:colOff>124146</xdr:colOff>
      <xdr:row>6</xdr:row>
      <xdr:rowOff>414426</xdr:rowOff>
    </xdr:to>
    <xdr:sp macro="" textlink="">
      <xdr:nvSpPr>
        <xdr:cNvPr id="16" name="Rectangle 15"/>
        <xdr:cNvSpPr/>
      </xdr:nvSpPr>
      <xdr:spPr>
        <a:xfrm>
          <a:off x="12563932" y="162378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3</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13</xdr:col>
      <xdr:colOff>428482</xdr:colOff>
      <xdr:row>2</xdr:row>
      <xdr:rowOff>54749</xdr:rowOff>
    </xdr:from>
    <xdr:ext cx="1680777" cy="382053"/>
    <xdr:pic>
      <xdr:nvPicPr>
        <xdr:cNvPr id="2" name="Picture 1"/>
        <xdr:cNvPicPr>
          <a:picLocks noChangeAspect="1"/>
        </xdr:cNvPicPr>
      </xdr:nvPicPr>
      <xdr:blipFill>
        <a:blip xmlns:r="http://schemas.openxmlformats.org/officeDocument/2006/relationships" r:embed="rId1"/>
        <a:stretch>
          <a:fillRect/>
        </a:stretch>
      </xdr:blipFill>
      <xdr:spPr>
        <a:xfrm>
          <a:off x="16101776" y="458161"/>
          <a:ext cx="1680777" cy="3820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2480235</xdr:colOff>
      <xdr:row>1</xdr:row>
      <xdr:rowOff>164352</xdr:rowOff>
    </xdr:from>
    <xdr:to>
      <xdr:col>10</xdr:col>
      <xdr:colOff>28389</xdr:colOff>
      <xdr:row>3</xdr:row>
      <xdr:rowOff>419</xdr:rowOff>
    </xdr:to>
    <xdr:pic>
      <xdr:nvPicPr>
        <xdr:cNvPr id="4" name="Picture 3"/>
        <xdr:cNvPicPr>
          <a:picLocks noChangeAspect="1"/>
        </xdr:cNvPicPr>
      </xdr:nvPicPr>
      <xdr:blipFill>
        <a:blip xmlns:r="http://schemas.openxmlformats.org/officeDocument/2006/relationships" r:embed="rId1"/>
        <a:stretch>
          <a:fillRect/>
        </a:stretch>
      </xdr:blipFill>
      <xdr:spPr>
        <a:xfrm>
          <a:off x="10018059" y="313764"/>
          <a:ext cx="1604683" cy="4748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2451100</xdr:colOff>
      <xdr:row>1</xdr:row>
      <xdr:rowOff>171450</xdr:rowOff>
    </xdr:from>
    <xdr:to>
      <xdr:col>10</xdr:col>
      <xdr:colOff>0</xdr:colOff>
      <xdr:row>3</xdr:row>
      <xdr:rowOff>7517</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4900" y="317500"/>
          <a:ext cx="1606550" cy="4710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2465294</xdr:colOff>
      <xdr:row>1</xdr:row>
      <xdr:rowOff>156882</xdr:rowOff>
    </xdr:from>
    <xdr:to>
      <xdr:col>10</xdr:col>
      <xdr:colOff>14194</xdr:colOff>
      <xdr:row>2</xdr:row>
      <xdr:rowOff>314184</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06294"/>
          <a:ext cx="1605429" cy="4785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2435412</xdr:colOff>
      <xdr:row>1</xdr:row>
      <xdr:rowOff>179294</xdr:rowOff>
    </xdr:from>
    <xdr:to>
      <xdr:col>9</xdr:col>
      <xdr:colOff>4040841</xdr:colOff>
      <xdr:row>3</xdr:row>
      <xdr:rowOff>15361</xdr:rowOff>
    </xdr:to>
    <xdr:pic>
      <xdr:nvPicPr>
        <xdr:cNvPr id="4" name="Picture 3"/>
        <xdr:cNvPicPr>
          <a:picLocks noChangeAspect="1"/>
        </xdr:cNvPicPr>
      </xdr:nvPicPr>
      <xdr:blipFill>
        <a:blip xmlns:r="http://schemas.openxmlformats.org/officeDocument/2006/relationships" r:embed="rId1"/>
        <a:stretch>
          <a:fillRect/>
        </a:stretch>
      </xdr:blipFill>
      <xdr:spPr>
        <a:xfrm>
          <a:off x="9973236" y="328706"/>
          <a:ext cx="1605429" cy="4785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2495176</xdr:colOff>
      <xdr:row>1</xdr:row>
      <xdr:rowOff>179294</xdr:rowOff>
    </xdr:from>
    <xdr:to>
      <xdr:col>10</xdr:col>
      <xdr:colOff>44076</xdr:colOff>
      <xdr:row>3</xdr:row>
      <xdr:rowOff>15361</xdr:rowOff>
    </xdr:to>
    <xdr:pic>
      <xdr:nvPicPr>
        <xdr:cNvPr id="4" name="Picture 3"/>
        <xdr:cNvPicPr>
          <a:picLocks noChangeAspect="1"/>
        </xdr:cNvPicPr>
      </xdr:nvPicPr>
      <xdr:blipFill>
        <a:blip xmlns:r="http://schemas.openxmlformats.org/officeDocument/2006/relationships" r:embed="rId1"/>
        <a:stretch>
          <a:fillRect/>
        </a:stretch>
      </xdr:blipFill>
      <xdr:spPr>
        <a:xfrm>
          <a:off x="10033000" y="328706"/>
          <a:ext cx="1605429" cy="4785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2472765</xdr:colOff>
      <xdr:row>1</xdr:row>
      <xdr:rowOff>171824</xdr:rowOff>
    </xdr:from>
    <xdr:to>
      <xdr:col>10</xdr:col>
      <xdr:colOff>21665</xdr:colOff>
      <xdr:row>3</xdr:row>
      <xdr:rowOff>7891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10589" y="321236"/>
          <a:ext cx="1605429" cy="4785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2457823</xdr:colOff>
      <xdr:row>1</xdr:row>
      <xdr:rowOff>186765</xdr:rowOff>
    </xdr:from>
    <xdr:to>
      <xdr:col>10</xdr:col>
      <xdr:colOff>6723</xdr:colOff>
      <xdr:row>3</xdr:row>
      <xdr:rowOff>22832</xdr:rowOff>
    </xdr:to>
    <xdr:pic>
      <xdr:nvPicPr>
        <xdr:cNvPr id="3" name="Picture 2"/>
        <xdr:cNvPicPr>
          <a:picLocks noChangeAspect="1"/>
        </xdr:cNvPicPr>
      </xdr:nvPicPr>
      <xdr:blipFill>
        <a:blip xmlns:r="http://schemas.openxmlformats.org/officeDocument/2006/relationships" r:embed="rId1"/>
        <a:stretch>
          <a:fillRect/>
        </a:stretch>
      </xdr:blipFill>
      <xdr:spPr>
        <a:xfrm>
          <a:off x="9995647" y="336177"/>
          <a:ext cx="1605429" cy="4785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2465294</xdr:colOff>
      <xdr:row>1</xdr:row>
      <xdr:rowOff>186765</xdr:rowOff>
    </xdr:from>
    <xdr:to>
      <xdr:col>10</xdr:col>
      <xdr:colOff>14194</xdr:colOff>
      <xdr:row>3</xdr:row>
      <xdr:rowOff>22832</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3118" y="336177"/>
          <a:ext cx="1605429" cy="478537"/>
        </a:xfrm>
        <a:prstGeom prst="rect">
          <a:avLst/>
        </a:prstGeom>
      </xdr:spPr>
    </xdr:pic>
    <xdr:clientData/>
  </xdr:twoCellAnchor>
</xdr:wsDr>
</file>

<file path=xl/tables/table1.xml><?xml version="1.0" encoding="utf-8"?>
<table xmlns="http://schemas.openxmlformats.org/spreadsheetml/2006/main" id="1" name="Table1" displayName="Table1" ref="L9:M413" tableType="xml" totalsRowShown="0" headerRowDxfId="46" dataDxfId="45" tableBorderDxfId="44" connectionId="1">
  <autoFilter ref="L9:M413"/>
  <tableColumns count="2">
    <tableColumn id="1" uniqueName="Practice" name="Practice" dataDxfId="43">
      <xmlColumnPr mapId="3" xpath="/data-set/record/Practice" xmlDataType="string"/>
    </tableColumn>
    <tableColumn id="2" uniqueName="Answer" name="Answer" dataDxfId="42">
      <xmlColumnPr mapId="3" xpath="/data-set/record/Answer" xmlDataType="integer"/>
    </tableColumn>
  </tableColumns>
  <tableStyleInfo name="TableStyleLight1" showFirstColumn="0" showLastColumn="0" showRowStripes="1" showColumnStripes="0"/>
</table>
</file>

<file path=xl/tables/table2.xml><?xml version="1.0" encoding="utf-8"?>
<table xmlns="http://schemas.openxmlformats.org/spreadsheetml/2006/main" id="2" name="Table2" displayName="Table2" ref="D11:E22" totalsRowShown="0" headerRowDxfId="41" dataDxfId="39" headerRowBorderDxfId="40" tableBorderDxfId="38">
  <autoFilter ref="D11:E22"/>
  <tableColumns count="2">
    <tableColumn id="1" name="Practice" dataDxfId="37"/>
    <tableColumn id="2" name="Answer" dataDxfId="36"/>
  </tableColumns>
  <tableStyleInfo name="TableStyleMedium20" showFirstColumn="0" showLastColumn="0" showRowStripes="1" showColumnStripes="0"/>
</table>
</file>

<file path=xl/tables/table3.xml><?xml version="1.0" encoding="utf-8"?>
<table xmlns="http://schemas.openxmlformats.org/spreadsheetml/2006/main" id="3" name="Table4" displayName="Table4" ref="H11:I22" totalsRowShown="0" headerRowDxfId="35" dataDxfId="33" headerRowBorderDxfId="34" tableBorderDxfId="32">
  <autoFilter ref="H11:I22"/>
  <tableColumns count="2">
    <tableColumn id="1" name="Practice" dataDxfId="31"/>
    <tableColumn id="2" name="Answer" dataDxfId="30"/>
  </tableColumns>
  <tableStyleInfo name="TableStyleMedium20" showFirstColumn="0" showLastColumn="0" showRowStripes="1" showColumnStripes="0"/>
</table>
</file>

<file path=xl/tables/table4.xml><?xml version="1.0" encoding="utf-8"?>
<table xmlns="http://schemas.openxmlformats.org/spreadsheetml/2006/main" id="4" name="Table5" displayName="Table5" ref="H26:I31" totalsRowShown="0" headerRowDxfId="29" dataDxfId="27" headerRowBorderDxfId="28" tableBorderDxfId="26">
  <autoFilter ref="H26:I31"/>
  <tableColumns count="2">
    <tableColumn id="1" name="Practice" dataDxfId="25"/>
    <tableColumn id="2" name="Answer" dataDxfId="24" dataCellStyle="Percent"/>
  </tableColumns>
  <tableStyleInfo name="TableStyleMedium20" showFirstColumn="0" showLastColumn="0" showRowStripes="1" showColumnStripes="0"/>
</table>
</file>

<file path=xl/tables/table5.xml><?xml version="1.0" encoding="utf-8"?>
<table xmlns="http://schemas.openxmlformats.org/spreadsheetml/2006/main" id="5" name="Table3" displayName="Table3" ref="D26:E31" totalsRowShown="0" headerRowDxfId="23" dataDxfId="21" headerRowBorderDxfId="22" tableBorderDxfId="20">
  <autoFilter ref="D26:E31"/>
  <tableColumns count="2">
    <tableColumn id="1" name="Practice" dataDxfId="19"/>
    <tableColumn id="2" name="Answer" dataDxfId="18" dataCellStyle="Percent"/>
  </tableColumns>
  <tableStyleInfo name="TableStyleMedium20" showFirstColumn="0" showLastColumn="0" showRowStripes="1" showColumnStripes="0"/>
</table>
</file>

<file path=xl/theme/theme1.xml><?xml version="1.0" encoding="utf-8"?>
<a:theme xmlns:a="http://schemas.openxmlformats.org/drawingml/2006/main" name="A) Traficom 1 su">
  <a:themeElements>
    <a:clrScheme name="Traficom">
      <a:dk1>
        <a:sysClr val="windowText" lastClr="000000"/>
      </a:dk1>
      <a:lt1>
        <a:sysClr val="window" lastClr="FFFFFF"/>
      </a:lt1>
      <a:dk2>
        <a:srgbClr val="018285"/>
      </a:dk2>
      <a:lt2>
        <a:srgbClr val="1C6BBA"/>
      </a:lt2>
      <a:accent1>
        <a:srgbClr val="00AEB2"/>
      </a:accent1>
      <a:accent2>
        <a:srgbClr val="018285"/>
      </a:accent2>
      <a:accent3>
        <a:srgbClr val="81D600"/>
      </a:accent3>
      <a:accent4>
        <a:srgbClr val="EC017F"/>
      </a:accent4>
      <a:accent5>
        <a:srgbClr val="0058B1"/>
      </a:accent5>
      <a:accent6>
        <a:srgbClr val="159637"/>
      </a:accent6>
      <a:hlink>
        <a:srgbClr val="0563C1"/>
      </a:hlink>
      <a:folHlink>
        <a:srgbClr val="954F72"/>
      </a:folHlink>
    </a:clrScheme>
    <a:fontScheme name="Mukautettu 1">
      <a:majorFont>
        <a:latin typeface="Verdana"/>
        <a:ea typeface=""/>
        <a:cs typeface=""/>
      </a:majorFont>
      <a:minorFont>
        <a:latin typeface="Verdana"/>
        <a:ea typeface=""/>
        <a:cs typeface=""/>
      </a:minorFont>
    </a:fontScheme>
    <a:fmtScheme name="Office-teem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AEB2"/>
        </a:solidFill>
        <a:ln>
          <a:solidFill>
            <a:srgbClr val="00AEB2"/>
          </a:solidFill>
        </a:ln>
      </a:spPr>
      <a:bodyPr rtlCol="0" anchor="t"/>
      <a:lstStyle>
        <a:defPPr algn="ctr">
          <a:defRPr dirty="0" err="1" smtClean="0">
            <a:solidFill>
              <a:schemeClr val="bg1"/>
            </a:solidFill>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31750">
          <a:solidFill>
            <a:srgbClr val="00AEB2"/>
          </a:solidFill>
        </a:ln>
      </a:spPr>
      <a:bodyPr/>
      <a:lstStyle/>
      <a:style>
        <a:lnRef idx="1">
          <a:schemeClr val="accent1"/>
        </a:lnRef>
        <a:fillRef idx="0">
          <a:schemeClr val="accent1"/>
        </a:fillRef>
        <a:effectRef idx="0">
          <a:schemeClr val="accent1"/>
        </a:effectRef>
        <a:fontRef idx="minor">
          <a:schemeClr val="tx1"/>
        </a:fontRef>
      </a:style>
    </a:lnDef>
    <a:txDef>
      <a:spPr>
        <a:solidFill>
          <a:srgbClr val="00AEB2"/>
        </a:solidFill>
      </a:spPr>
      <a:bodyPr wrap="none" rtlCol="0">
        <a:spAutoFit/>
      </a:bodyPr>
      <a:lstStyle>
        <a:defPPr algn="l">
          <a:defRPr dirty="0" err="1" smtClean="0">
            <a:solidFill>
              <a:schemeClr val="bg1"/>
            </a:solidFill>
          </a:defRPr>
        </a:defPPr>
      </a:lstStyle>
    </a:txDef>
  </a:objectDefaults>
  <a:extraClrSchemeLst/>
  <a:custClrLst>
    <a:custClr name="Traficom 1">
      <a:srgbClr val="00AEB2"/>
    </a:custClr>
    <a:custClr name="Traficom 2">
      <a:srgbClr val="018285"/>
    </a:custClr>
    <a:custClr name="Traficom 3">
      <a:srgbClr val="0058B1"/>
    </a:custClr>
    <a:custClr name="Traficom 4">
      <a:srgbClr val="159637"/>
    </a:custClr>
    <a:custClr name="Traficom 5">
      <a:srgbClr val="81D600"/>
    </a:custClr>
    <a:custClr name="Traficom 6">
      <a:srgbClr val="009EFF"/>
    </a:custClr>
    <a:custClr name="Traficom 7">
      <a:srgbClr val="0066CC"/>
    </a:custClr>
    <a:custClr name="Traficom 8">
      <a:srgbClr val="EC017F"/>
    </a:custClr>
    <a:custClr name="Traficom 9">
      <a:srgbClr val="E90008"/>
    </a:custClr>
    <a:custClr name="Traficom 10">
      <a:srgbClr val="FF7D00"/>
    </a:custClr>
    <a:custClr name="Traficom 11">
      <a:srgbClr val="FFD400"/>
    </a:custClr>
    <a:custClr name="Traficom 12">
      <a:srgbClr val="056805"/>
    </a:custClr>
    <a:custClr name="Traficom 13">
      <a:srgbClr val="026273"/>
    </a:custClr>
    <a:custClr name="Traficom 14">
      <a:srgbClr val="002C74"/>
    </a:custClr>
    <a:custClr name="Traficom 15">
      <a:srgbClr val="820084"/>
    </a:custClr>
    <a:custClr name="Traficom 16">
      <a:srgbClr val="9E003B"/>
    </a:custClr>
  </a:custClrLst>
  <a:extLst>
    <a:ext uri="{05A4C25C-085E-4340-85A3-A5531E510DB2}">
      <thm15:themeFamily xmlns:thm15="http://schemas.microsoft.com/office/thememl/2012/main" name="A) Traficom 1 su" id="{417F7FBC-8D82-49A1-8EC6-4B6731C85255}" vid="{FB2437AC-8BEC-40D3-B6CF-A3569723B9A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58B1"/>
  </sheetPr>
  <dimension ref="A1:W44"/>
  <sheetViews>
    <sheetView showGridLines="0" tabSelected="1" zoomScaleNormal="100" workbookViewId="0">
      <selection activeCell="E11" sqref="E11:F11"/>
    </sheetView>
  </sheetViews>
  <sheetFormatPr defaultRowHeight="13.5" x14ac:dyDescent="0.25"/>
  <cols>
    <col min="1" max="2" width="1.640625" style="433" customWidth="1"/>
    <col min="3" max="3" width="3.640625" style="434" customWidth="1"/>
    <col min="4" max="4" width="14.640625" style="433" customWidth="1"/>
    <col min="5" max="5" width="30.640625" style="433" customWidth="1"/>
    <col min="6" max="6" width="6.640625" style="433" customWidth="1"/>
    <col min="7" max="7" width="3.640625" style="435" customWidth="1"/>
    <col min="8" max="8" width="14.640625" style="433" customWidth="1"/>
    <col min="9" max="9" width="30.640625" style="433" customWidth="1"/>
    <col min="10" max="10" width="6.640625" style="433" customWidth="1"/>
    <col min="11" max="11" width="3.640625" style="433" customWidth="1"/>
    <col min="12" max="15" width="1.640625" style="433" customWidth="1"/>
    <col min="16" max="16" width="0.85546875" style="433" customWidth="1"/>
    <col min="17" max="17" width="9.140625" style="433" customWidth="1"/>
    <col min="18" max="23" width="9.140625" style="436"/>
    <col min="24" max="16384" width="9.140625" style="433"/>
  </cols>
  <sheetData>
    <row r="1" spans="1:23" s="303" customFormat="1" ht="11.5" x14ac:dyDescent="0.25">
      <c r="A1" s="297"/>
      <c r="B1" s="297"/>
      <c r="C1" s="298"/>
      <c r="D1" s="297"/>
      <c r="E1" s="297"/>
      <c r="F1" s="297"/>
      <c r="G1" s="299"/>
      <c r="H1" s="297"/>
      <c r="I1" s="299"/>
      <c r="J1" s="299"/>
      <c r="K1" s="299"/>
      <c r="L1" s="297"/>
      <c r="M1" s="297"/>
      <c r="N1" s="300"/>
      <c r="O1" s="297"/>
      <c r="P1" s="301"/>
      <c r="Q1" s="301"/>
      <c r="R1" s="302"/>
      <c r="S1" s="302"/>
      <c r="T1" s="302"/>
      <c r="U1" s="302"/>
      <c r="V1" s="302"/>
      <c r="W1" s="302"/>
    </row>
    <row r="2" spans="1:23" s="314" customFormat="1" ht="11.5" x14ac:dyDescent="0.2">
      <c r="A2" s="304"/>
      <c r="B2" s="305"/>
      <c r="C2" s="306"/>
      <c r="D2" s="307"/>
      <c r="E2" s="307"/>
      <c r="F2" s="308"/>
      <c r="G2" s="309"/>
      <c r="H2" s="308"/>
      <c r="I2" s="308"/>
      <c r="J2" s="308"/>
      <c r="K2" s="308"/>
      <c r="L2" s="310"/>
      <c r="M2" s="304"/>
      <c r="N2" s="311"/>
      <c r="O2" s="304"/>
      <c r="P2" s="312"/>
      <c r="Q2" s="312"/>
      <c r="R2" s="313"/>
      <c r="S2" s="313"/>
      <c r="T2" s="313"/>
      <c r="U2" s="313"/>
      <c r="V2" s="313"/>
      <c r="W2" s="313"/>
    </row>
    <row r="3" spans="1:23" s="314" customFormat="1" ht="18" customHeight="1" x14ac:dyDescent="0.3">
      <c r="A3" s="304"/>
      <c r="B3" s="315"/>
      <c r="C3" s="316" t="s">
        <v>513</v>
      </c>
      <c r="F3" s="317"/>
      <c r="G3" s="318"/>
      <c r="H3" s="319" t="str">
        <f>IF(VLOOKUP("GEN-SEC",Languages!$A:$D,1,TRUE)="GEN-SEC",VLOOKUP("GEN-SEC",Languages!$A:$D,Kybermittari!$C$7,TRUE),NA())</f>
        <v>Tiedon luokittelu</v>
      </c>
      <c r="I3" s="317"/>
      <c r="J3" s="317"/>
      <c r="K3" s="317"/>
      <c r="L3" s="320"/>
      <c r="M3" s="304"/>
      <c r="N3" s="311"/>
      <c r="O3" s="304"/>
      <c r="P3" s="312"/>
      <c r="Q3" s="312"/>
      <c r="R3" s="313"/>
      <c r="S3" s="313"/>
      <c r="T3" s="313"/>
      <c r="U3" s="313"/>
      <c r="V3" s="313"/>
      <c r="W3" s="313"/>
    </row>
    <row r="4" spans="1:23" s="314" customFormat="1" ht="20" customHeight="1" x14ac:dyDescent="0.35">
      <c r="A4" s="304"/>
      <c r="B4" s="315"/>
      <c r="C4" s="321" t="str">
        <f>IF(VLOOKUP($C$3,Languages!$A:$D,1,TRUE)=$C$3,VLOOKUP($C$3,Languages!$A:$D,Kybermittari!$C$7,TRUE),NA())</f>
        <v>Kyberturvallisuuden arviointityökalu</v>
      </c>
      <c r="E4" s="322"/>
      <c r="F4" s="317"/>
      <c r="G4" s="318"/>
      <c r="H4" s="437"/>
      <c r="I4" s="317"/>
      <c r="J4" s="317"/>
      <c r="K4" s="317"/>
      <c r="L4" s="320"/>
      <c r="M4" s="304"/>
      <c r="N4" s="311"/>
      <c r="O4" s="304"/>
      <c r="P4" s="312"/>
      <c r="Q4" s="312"/>
      <c r="R4" s="313"/>
      <c r="S4" s="313"/>
      <c r="T4" s="313"/>
      <c r="U4" s="313"/>
      <c r="V4" s="313"/>
      <c r="W4" s="313"/>
    </row>
    <row r="5" spans="1:23" s="303" customFormat="1" ht="10" customHeight="1" x14ac:dyDescent="0.25">
      <c r="A5" s="297"/>
      <c r="B5" s="323"/>
      <c r="C5" s="324"/>
      <c r="D5" s="325"/>
      <c r="E5" s="325"/>
      <c r="F5" s="325"/>
      <c r="G5" s="326"/>
      <c r="H5" s="325"/>
      <c r="I5" s="326"/>
      <c r="J5" s="326"/>
      <c r="K5" s="326"/>
      <c r="L5" s="327"/>
      <c r="M5" s="297"/>
      <c r="N5" s="300"/>
      <c r="O5" s="297"/>
      <c r="P5" s="301"/>
      <c r="Q5" s="301"/>
      <c r="R5" s="302"/>
      <c r="S5" s="302"/>
      <c r="T5" s="302"/>
      <c r="U5" s="302"/>
      <c r="V5" s="302"/>
      <c r="W5" s="302"/>
    </row>
    <row r="6" spans="1:23" s="303" customFormat="1" ht="107.5" customHeight="1" thickBot="1" x14ac:dyDescent="0.3">
      <c r="A6" s="297"/>
      <c r="B6" s="323"/>
      <c r="C6" s="728" t="str">
        <f>IF(VLOOKUP(CONCATENATE(C3,"-0"),Languages!$A:$D,1,TRUE)=CONCATENATE(C3,"-0"),VLOOKUP(CONCATENATE(C3,"-0"),Languages!$A:$D,Kybermittari!$C$7,TRUE),NA())</f>
        <v>Kybermittarin arviointityökalu auttaa organisaatioita muodostamaan kyberturvallisuuden tilannekuvan ja ohjaamaan kyberturvallisuuden kehitystoimintaa. Työkalu koostuu tästä arviointityökalusta ja sen käyttöohjeesta. Kybermittarissa hyödynnetään suoraan Yhdysvaltain Energiaviraston C2M2-mallin kymmentä kyberturvallisuuden osiota englanninkielisine teksteineen. Arviointityökalun versio on 1.0.
Kybermittarin arviointityökalu, käyttöohje ja käyttöehdot ovat saatavilla osoitteesta www.Kybermittari.fi. Tutustuthan Kybermittarin käyttöohjeeseen ja käyttöehtoihin ennen mittarin käyttöönottoa.</v>
      </c>
      <c r="D6" s="728"/>
      <c r="E6" s="728"/>
      <c r="F6" s="728"/>
      <c r="G6" s="728"/>
      <c r="H6" s="728"/>
      <c r="I6" s="728"/>
      <c r="J6" s="728"/>
      <c r="K6" s="328"/>
      <c r="L6" s="327"/>
      <c r="M6" s="297"/>
      <c r="N6" s="300"/>
      <c r="O6" s="297"/>
      <c r="P6" s="301"/>
      <c r="Q6" s="301"/>
      <c r="R6" s="302"/>
      <c r="S6" s="302"/>
      <c r="T6" s="302"/>
      <c r="U6" s="302"/>
      <c r="V6" s="302"/>
      <c r="W6" s="302"/>
    </row>
    <row r="7" spans="1:23" s="303" customFormat="1" ht="18" customHeight="1" thickBot="1" x14ac:dyDescent="0.3">
      <c r="A7" s="297"/>
      <c r="B7" s="323"/>
      <c r="C7" s="329">
        <f>MATCH(D7,Languages!1:1,0)</f>
        <v>3</v>
      </c>
      <c r="D7" s="807" t="s">
        <v>1275</v>
      </c>
      <c r="E7" s="808" t="s">
        <v>1278</v>
      </c>
      <c r="F7" s="809"/>
      <c r="G7" s="330"/>
      <c r="H7" s="331"/>
      <c r="I7" s="331"/>
      <c r="J7" s="331"/>
      <c r="K7" s="331"/>
      <c r="L7" s="327"/>
      <c r="M7" s="297"/>
      <c r="N7" s="300"/>
      <c r="O7" s="297"/>
      <c r="P7" s="301"/>
      <c r="Q7" s="301"/>
      <c r="R7" s="302"/>
      <c r="S7" s="302"/>
      <c r="T7" s="302"/>
      <c r="U7" s="302"/>
      <c r="V7" s="302"/>
      <c r="W7" s="302"/>
    </row>
    <row r="8" spans="1:23" s="303" customFormat="1" ht="10" customHeight="1" x14ac:dyDescent="0.25">
      <c r="A8" s="297"/>
      <c r="B8" s="323"/>
      <c r="C8" s="329"/>
      <c r="D8" s="319"/>
      <c r="E8" s="319"/>
      <c r="F8" s="319"/>
      <c r="G8" s="330"/>
      <c r="H8" s="331"/>
      <c r="I8" s="331"/>
      <c r="J8" s="331"/>
      <c r="K8" s="331"/>
      <c r="L8" s="327"/>
      <c r="M8" s="297"/>
      <c r="N8" s="300"/>
      <c r="O8" s="297"/>
      <c r="P8" s="301"/>
      <c r="Q8" s="301"/>
      <c r="R8" s="302"/>
      <c r="S8" s="302"/>
      <c r="T8" s="302"/>
      <c r="U8" s="302"/>
      <c r="V8" s="302"/>
      <c r="W8" s="302"/>
    </row>
    <row r="9" spans="1:23" s="343" customFormat="1" ht="25" customHeight="1" x14ac:dyDescent="0.25">
      <c r="A9" s="332"/>
      <c r="B9" s="333"/>
      <c r="C9" s="334">
        <v>10</v>
      </c>
      <c r="D9" s="335" t="str">
        <f>IF(VLOOKUP(CONCATENATE($C$3,"-",C9),Languages!$A:$D,1,TRUE)=CONCATENATE($C$3,"-",C9),VLOOKUP(CONCATENATE($C$3,"-",C9),Languages!$A:$D,Kybermittari!$C$7,TRUE),NA())</f>
        <v>Organisaatio</v>
      </c>
      <c r="E9" s="336"/>
      <c r="F9" s="336"/>
      <c r="G9" s="337"/>
      <c r="H9" s="336"/>
      <c r="I9" s="336" t="str">
        <f>IFERROR(INT(LEFT(#REF!,1)),"")</f>
        <v/>
      </c>
      <c r="J9" s="336"/>
      <c r="K9" s="338"/>
      <c r="L9" s="339"/>
      <c r="M9" s="340"/>
      <c r="N9" s="300"/>
      <c r="O9" s="340"/>
      <c r="P9" s="341"/>
      <c r="Q9" s="341"/>
      <c r="R9" s="342"/>
      <c r="S9" s="342"/>
      <c r="T9" s="342"/>
      <c r="U9" s="342"/>
      <c r="V9" s="342"/>
      <c r="W9" s="342"/>
    </row>
    <row r="10" spans="1:23" s="351" customFormat="1" ht="10" customHeight="1" x14ac:dyDescent="0.25">
      <c r="A10" s="344"/>
      <c r="B10" s="345"/>
      <c r="C10" s="733"/>
      <c r="D10" s="733"/>
      <c r="E10" s="733"/>
      <c r="F10" s="733"/>
      <c r="G10" s="733"/>
      <c r="H10" s="733"/>
      <c r="I10" s="733"/>
      <c r="J10" s="733"/>
      <c r="K10" s="331"/>
      <c r="L10" s="346"/>
      <c r="M10" s="347"/>
      <c r="N10" s="348"/>
      <c r="O10" s="347"/>
      <c r="P10" s="349"/>
      <c r="Q10" s="349"/>
      <c r="R10" s="350"/>
      <c r="S10" s="350"/>
      <c r="T10" s="350"/>
      <c r="U10" s="350"/>
      <c r="V10" s="350"/>
      <c r="W10" s="350"/>
    </row>
    <row r="11" spans="1:23" s="351" customFormat="1" ht="18" customHeight="1" x14ac:dyDescent="0.25">
      <c r="A11" s="344"/>
      <c r="B11" s="352">
        <v>11</v>
      </c>
      <c r="C11" s="353">
        <f>IF(OR(ISBLANK(E11),ISBLANK(#REF!),ISBLANK(E13)),0,1)</f>
        <v>0</v>
      </c>
      <c r="D11" s="331" t="str">
        <f>IF(VLOOKUP(CONCATENATE($C$3,"-",B11),Languages!$A:$D,1,TRUE)=CONCATENATE($C$3,"-",B11),VLOOKUP(CONCATENATE($C$3,"-",B11),Languages!$A:$D,Kybermittari!$C$7,TRUE),NA())</f>
        <v>Nimi</v>
      </c>
      <c r="E11" s="736"/>
      <c r="F11" s="736"/>
      <c r="G11" s="354">
        <f>IF(OR(ISBLANK(I11),ISBLANK(I13),ISBLANK(#REF!)),0,1)</f>
        <v>0</v>
      </c>
      <c r="H11" s="331" t="str">
        <f>IF(VLOOKUP(CONCATENATE($C$3,"-",L11),Languages!$A:$D,1,TRUE)=CONCATENATE($C$3,"-",L11),VLOOKUP(CONCATENATE($C$3,"-",L11),Languages!$A:$D,Kybermittari!$C$7,TRUE),NA())</f>
        <v>Yhteyshenkilö</v>
      </c>
      <c r="I11" s="736"/>
      <c r="J11" s="736"/>
      <c r="K11" s="355"/>
      <c r="L11" s="356">
        <v>14</v>
      </c>
      <c r="M11" s="344"/>
      <c r="N11" s="348"/>
      <c r="O11" s="344"/>
      <c r="P11" s="349"/>
      <c r="Q11" s="349"/>
      <c r="R11" s="350"/>
      <c r="S11" s="350"/>
      <c r="T11" s="350"/>
      <c r="U11" s="350"/>
      <c r="V11" s="350"/>
      <c r="W11" s="350"/>
    </row>
    <row r="12" spans="1:23" s="351" customFormat="1" ht="18" customHeight="1" x14ac:dyDescent="0.25">
      <c r="A12" s="344"/>
      <c r="B12" s="352">
        <v>12</v>
      </c>
      <c r="C12" s="353"/>
      <c r="D12" s="331" t="str">
        <f>IF(VLOOKUP(CONCATENATE($C$3,"-",B12),Languages!$A:$D,1,TRUE)=CONCATENATE($C$3,"-",B12),VLOOKUP(CONCATENATE($C$3,"-",B12),Languages!$A:$D,Kybermittari!$C$7,TRUE),NA())</f>
        <v>Toimiala</v>
      </c>
      <c r="E12" s="731"/>
      <c r="F12" s="731"/>
      <c r="G12" s="357"/>
      <c r="H12" s="358"/>
      <c r="I12" s="731"/>
      <c r="J12" s="731"/>
      <c r="K12" s="355"/>
      <c r="L12" s="356"/>
      <c r="M12" s="344"/>
      <c r="N12" s="348"/>
      <c r="O12" s="344"/>
      <c r="P12" s="349"/>
      <c r="Q12" s="349"/>
      <c r="R12" s="350"/>
      <c r="S12" s="350"/>
      <c r="T12" s="350"/>
      <c r="U12" s="350"/>
      <c r="V12" s="350"/>
      <c r="W12" s="350"/>
    </row>
    <row r="13" spans="1:23" s="351" customFormat="1" ht="18" customHeight="1" x14ac:dyDescent="0.25">
      <c r="A13" s="344"/>
      <c r="B13" s="352">
        <v>13</v>
      </c>
      <c r="C13" s="353"/>
      <c r="D13" s="331" t="str">
        <f>IF(VLOOKUP(CONCATENATE($C$3,"-",B13),Languages!$A:$D,1,TRUE)=CONCATENATE($C$3,"-",B13),VLOOKUP(CONCATENATE($C$3,"-",B13),Languages!$A:$D,Kybermittari!$C$7,TRUE),NA())</f>
        <v>Toiminto</v>
      </c>
      <c r="E13" s="731"/>
      <c r="F13" s="731"/>
      <c r="G13" s="357"/>
      <c r="H13" s="331" t="str">
        <f>IF(VLOOKUP(CONCATENATE($C$3,"-",L13),Languages!$A:$D,1,TRUE)=CONCATENATE($C$3,"-",L13),VLOOKUP(CONCATENATE($C$3,"-",L13),Languages!$A:$D,Kybermittari!$C$7,TRUE),NA())</f>
        <v>Arvioinnin vetäjä</v>
      </c>
      <c r="I13" s="731"/>
      <c r="J13" s="731"/>
      <c r="K13" s="355"/>
      <c r="L13" s="356">
        <v>15</v>
      </c>
      <c r="M13" s="344"/>
      <c r="N13" s="348"/>
      <c r="O13" s="344"/>
      <c r="P13" s="349"/>
      <c r="Q13" s="349"/>
      <c r="R13" s="350"/>
      <c r="S13" s="350"/>
      <c r="T13" s="350"/>
      <c r="U13" s="350"/>
      <c r="V13" s="350"/>
      <c r="W13" s="350"/>
    </row>
    <row r="14" spans="1:23" s="343" customFormat="1" ht="10" customHeight="1" x14ac:dyDescent="0.25">
      <c r="A14" s="332"/>
      <c r="B14" s="359"/>
      <c r="C14" s="360"/>
      <c r="D14" s="361"/>
      <c r="E14" s="361"/>
      <c r="F14" s="362"/>
      <c r="G14" s="357"/>
      <c r="H14" s="331"/>
      <c r="I14" s="361"/>
      <c r="J14" s="361"/>
      <c r="K14" s="361"/>
      <c r="L14" s="363"/>
      <c r="M14" s="332"/>
      <c r="N14" s="348"/>
      <c r="O14" s="332"/>
      <c r="P14" s="341"/>
      <c r="Q14" s="341"/>
      <c r="R14" s="342"/>
      <c r="S14" s="342"/>
      <c r="T14" s="342"/>
      <c r="U14" s="342"/>
      <c r="V14" s="342"/>
      <c r="W14" s="342"/>
    </row>
    <row r="15" spans="1:23" s="372" customFormat="1" ht="20" customHeight="1" x14ac:dyDescent="0.25">
      <c r="A15" s="347"/>
      <c r="B15" s="364">
        <v>16</v>
      </c>
      <c r="C15" s="353">
        <f>IF(ISBLANK(D16),0,1)</f>
        <v>0</v>
      </c>
      <c r="D15" s="365" t="str">
        <f>IF(VLOOKUP(CONCATENATE($C$3,"-",B15),Languages!$A:$D,1,TRUE)=CONCATENATE($C$3,"-",B15),VLOOKUP(CONCATENATE($C$3,"-",B15),Languages!$A:$D,Kybermittari!$C$7,TRUE),NA())</f>
        <v>Kuvaus arvioitavasta toiminnan osa-alueesta</v>
      </c>
      <c r="E15" s="366"/>
      <c r="F15" s="366"/>
      <c r="G15" s="367"/>
      <c r="H15" s="366"/>
      <c r="I15" s="368"/>
      <c r="J15" s="368"/>
      <c r="K15" s="368"/>
      <c r="L15" s="369"/>
      <c r="M15" s="347"/>
      <c r="N15" s="348"/>
      <c r="O15" s="347"/>
      <c r="P15" s="370"/>
      <c r="Q15" s="370"/>
      <c r="R15" s="371"/>
      <c r="S15" s="371"/>
      <c r="T15" s="371"/>
      <c r="U15" s="371"/>
      <c r="V15" s="371"/>
      <c r="W15" s="371"/>
    </row>
    <row r="16" spans="1:23" s="372" customFormat="1" ht="75" customHeight="1" x14ac:dyDescent="0.25">
      <c r="A16" s="347"/>
      <c r="B16" s="373"/>
      <c r="C16" s="353"/>
      <c r="D16" s="725"/>
      <c r="E16" s="726"/>
      <c r="F16" s="726"/>
      <c r="G16" s="726"/>
      <c r="H16" s="726"/>
      <c r="I16" s="726"/>
      <c r="J16" s="727"/>
      <c r="K16" s="374"/>
      <c r="L16" s="369"/>
      <c r="M16" s="347"/>
      <c r="N16" s="348"/>
      <c r="O16" s="347"/>
      <c r="P16" s="370"/>
      <c r="Q16" s="370"/>
      <c r="R16" s="371"/>
      <c r="S16" s="371"/>
      <c r="T16" s="371"/>
      <c r="U16" s="371"/>
      <c r="V16" s="371"/>
      <c r="W16" s="371"/>
    </row>
    <row r="17" spans="1:23" s="372" customFormat="1" ht="10" customHeight="1" x14ac:dyDescent="0.25">
      <c r="A17" s="347"/>
      <c r="B17" s="373"/>
      <c r="C17" s="353"/>
      <c r="D17" s="375"/>
      <c r="E17" s="375"/>
      <c r="F17" s="375"/>
      <c r="G17" s="376"/>
      <c r="H17" s="375"/>
      <c r="I17" s="375"/>
      <c r="J17" s="375"/>
      <c r="K17" s="375"/>
      <c r="L17" s="369"/>
      <c r="M17" s="347"/>
      <c r="N17" s="348"/>
      <c r="O17" s="347"/>
      <c r="P17" s="370"/>
      <c r="Q17" s="370"/>
      <c r="R17" s="371"/>
      <c r="S17" s="371"/>
      <c r="T17" s="371"/>
      <c r="U17" s="371"/>
      <c r="V17" s="371"/>
      <c r="W17" s="371"/>
    </row>
    <row r="18" spans="1:23" s="372" customFormat="1" ht="28" customHeight="1" x14ac:dyDescent="0.25">
      <c r="A18" s="347"/>
      <c r="B18" s="364">
        <v>17</v>
      </c>
      <c r="C18" s="353">
        <f>IF(ISBLANK(D20),0,1)</f>
        <v>0</v>
      </c>
      <c r="D18" s="377" t="str">
        <f>IF(VLOOKUP(CONCATENATE($C$3,"-",B18),Languages!$A:$D,1,TRUE)=CONCATENATE($C$3,"-",B18),VLOOKUP(CONCATENATE($C$3,"-",B18),Languages!$A:$D,Kybermittari!$C$7,TRUE),NA())</f>
        <v>Toiminnan osa-alueen yhteiskunnallinen vaikuttavuus</v>
      </c>
      <c r="E18" s="377"/>
      <c r="F18" s="377"/>
      <c r="G18" s="368"/>
      <c r="H18" s="378"/>
      <c r="I18" s="378"/>
      <c r="J18" s="378"/>
      <c r="K18" s="378"/>
      <c r="L18" s="369"/>
      <c r="M18" s="347"/>
      <c r="N18" s="348"/>
      <c r="O18" s="347"/>
      <c r="P18" s="370"/>
      <c r="Q18" s="370"/>
      <c r="R18" s="371"/>
      <c r="S18" s="371"/>
      <c r="T18" s="371"/>
      <c r="U18" s="371"/>
      <c r="V18" s="371"/>
      <c r="W18" s="371"/>
    </row>
    <row r="19" spans="1:23" s="372" customFormat="1" ht="27.5" customHeight="1" x14ac:dyDescent="0.25">
      <c r="A19" s="347"/>
      <c r="B19" s="373"/>
      <c r="C19" s="353"/>
      <c r="D19" s="732"/>
      <c r="E19" s="732"/>
      <c r="F19" s="366"/>
      <c r="G19" s="368"/>
      <c r="H19" s="378"/>
      <c r="I19" s="378"/>
      <c r="J19" s="378"/>
      <c r="K19" s="378"/>
      <c r="L19" s="369"/>
      <c r="M19" s="347"/>
      <c r="N19" s="348"/>
      <c r="O19" s="347"/>
      <c r="P19" s="370"/>
      <c r="Q19" s="370"/>
      <c r="R19" s="371"/>
      <c r="S19" s="371"/>
      <c r="T19" s="371"/>
      <c r="U19" s="371"/>
      <c r="V19" s="371"/>
      <c r="W19" s="371"/>
    </row>
    <row r="20" spans="1:23" s="372" customFormat="1" ht="20" customHeight="1" x14ac:dyDescent="0.25">
      <c r="A20" s="347"/>
      <c r="B20" s="373"/>
      <c r="C20" s="353"/>
      <c r="D20" s="725"/>
      <c r="E20" s="726"/>
      <c r="F20" s="726"/>
      <c r="G20" s="726"/>
      <c r="H20" s="726"/>
      <c r="I20" s="726"/>
      <c r="J20" s="727"/>
      <c r="K20" s="374"/>
      <c r="L20" s="369"/>
      <c r="M20" s="347"/>
      <c r="N20" s="348"/>
      <c r="O20" s="347"/>
      <c r="P20" s="370"/>
      <c r="Q20" s="370"/>
      <c r="R20" s="371"/>
      <c r="S20" s="371"/>
      <c r="T20" s="371"/>
      <c r="U20" s="371"/>
      <c r="V20" s="371"/>
      <c r="W20" s="371"/>
    </row>
    <row r="21" spans="1:23" s="372" customFormat="1" ht="10" customHeight="1" x14ac:dyDescent="0.25">
      <c r="A21" s="347"/>
      <c r="B21" s="373"/>
      <c r="C21" s="353"/>
      <c r="D21" s="379"/>
      <c r="E21" s="379"/>
      <c r="F21" s="366"/>
      <c r="G21" s="368"/>
      <c r="H21" s="378"/>
      <c r="I21" s="378"/>
      <c r="J21" s="378"/>
      <c r="K21" s="378"/>
      <c r="L21" s="369"/>
      <c r="M21" s="347"/>
      <c r="N21" s="348"/>
      <c r="O21" s="347"/>
      <c r="P21" s="370"/>
      <c r="Q21" s="370"/>
      <c r="R21" s="371"/>
      <c r="S21" s="371"/>
      <c r="T21" s="371"/>
      <c r="U21" s="371"/>
      <c r="V21" s="371"/>
      <c r="W21" s="371"/>
    </row>
    <row r="22" spans="1:23" s="343" customFormat="1" ht="25" customHeight="1" x14ac:dyDescent="0.25">
      <c r="A22" s="332"/>
      <c r="B22" s="333"/>
      <c r="C22" s="334">
        <v>20</v>
      </c>
      <c r="D22" s="335" t="str">
        <f>IF(VLOOKUP(CONCATENATE($C$3,"-",C22),Languages!$A:$D,1,TRUE)=CONCATENATE($C$3,"-",C22),VLOOKUP(CONCATENATE($C$3,"-",C22),Languages!$A:$D,Kybermittari!$C$7,TRUE),NA())</f>
        <v>Kyberturvallisuuden arviointi</v>
      </c>
      <c r="E22" s="336"/>
      <c r="F22" s="336"/>
      <c r="G22" s="337"/>
      <c r="H22" s="336"/>
      <c r="I22" s="336" t="str">
        <f>IFERROR(INT(LEFT(#REF!,1)),"")</f>
        <v/>
      </c>
      <c r="J22" s="336"/>
      <c r="K22" s="338"/>
      <c r="L22" s="339"/>
      <c r="M22" s="340"/>
      <c r="N22" s="300"/>
      <c r="O22" s="340"/>
      <c r="P22" s="341"/>
      <c r="Q22" s="370"/>
      <c r="R22" s="342"/>
      <c r="S22" s="342"/>
      <c r="T22" s="342"/>
      <c r="U22" s="342"/>
      <c r="V22" s="342"/>
      <c r="W22" s="342"/>
    </row>
    <row r="23" spans="1:23" s="351" customFormat="1" ht="10" customHeight="1" x14ac:dyDescent="0.25">
      <c r="A23" s="344"/>
      <c r="B23" s="345"/>
      <c r="C23" s="728"/>
      <c r="D23" s="728"/>
      <c r="E23" s="728"/>
      <c r="F23" s="728"/>
      <c r="G23" s="728"/>
      <c r="H23" s="728"/>
      <c r="I23" s="728"/>
      <c r="J23" s="728"/>
      <c r="K23" s="331"/>
      <c r="L23" s="346"/>
      <c r="M23" s="347"/>
      <c r="N23" s="348"/>
      <c r="O23" s="347"/>
      <c r="P23" s="349"/>
      <c r="Q23" s="349"/>
      <c r="R23" s="350"/>
      <c r="S23" s="350"/>
      <c r="T23" s="350"/>
      <c r="U23" s="350"/>
      <c r="V23" s="350"/>
      <c r="W23" s="350"/>
    </row>
    <row r="24" spans="1:23" s="343" customFormat="1" ht="20" customHeight="1" x14ac:dyDescent="0.3">
      <c r="A24" s="332"/>
      <c r="B24" s="380">
        <v>21</v>
      </c>
      <c r="C24" s="381">
        <f ca="1">SUM(C26:C31)+SUM(G27:G31)</f>
        <v>325</v>
      </c>
      <c r="D24" s="338" t="str">
        <f>IF(VLOOKUP(CONCATENATE($C$3,"-",B24),Languages!$A:$D,1,TRUE)=CONCATENATE($C$3,"-",B24),VLOOKUP(CONCATENATE($C$3,"-",B24),Languages!$A:$D,Kybermittari!$C$7,TRUE),NA())</f>
        <v>Kyberturvallisuuden osiot</v>
      </c>
      <c r="E24" s="382"/>
      <c r="F24" s="383"/>
      <c r="G24" s="384"/>
      <c r="H24" s="385"/>
      <c r="I24" s="386"/>
      <c r="J24" s="386"/>
      <c r="K24" s="386"/>
      <c r="L24" s="387"/>
      <c r="M24" s="340"/>
      <c r="N24" s="348"/>
      <c r="O24" s="340"/>
      <c r="P24" s="341"/>
      <c r="Q24" s="341"/>
      <c r="R24" s="342"/>
      <c r="S24" s="342"/>
      <c r="T24" s="342"/>
      <c r="U24" s="342"/>
      <c r="V24" s="342"/>
      <c r="W24" s="342"/>
    </row>
    <row r="25" spans="1:23" s="351" customFormat="1" ht="10" customHeight="1" x14ac:dyDescent="0.25">
      <c r="A25" s="344"/>
      <c r="B25" s="380"/>
      <c r="C25" s="353"/>
      <c r="D25" s="388"/>
      <c r="E25" s="388"/>
      <c r="F25" s="389"/>
      <c r="G25" s="390"/>
      <c r="H25" s="391"/>
      <c r="I25" s="374"/>
      <c r="J25" s="374"/>
      <c r="K25" s="374"/>
      <c r="L25" s="346"/>
      <c r="M25" s="347"/>
      <c r="N25" s="348"/>
      <c r="O25" s="347"/>
      <c r="P25" s="349"/>
      <c r="Q25" s="349"/>
      <c r="R25" s="350"/>
      <c r="S25" s="350"/>
      <c r="T25" s="350"/>
      <c r="U25" s="350"/>
      <c r="V25" s="350"/>
      <c r="W25" s="350"/>
    </row>
    <row r="26" spans="1:23" s="372" customFormat="1" ht="22" customHeight="1" x14ac:dyDescent="0.25">
      <c r="A26" s="344"/>
      <c r="B26" s="380" t="s">
        <v>60</v>
      </c>
      <c r="C26" s="392">
        <f t="shared" ref="C26:C31" ca="1" si="0">RIGHT(F26,2) - LEFT(F26,2)</f>
        <v>27</v>
      </c>
      <c r="D26" s="393" t="str">
        <f>HYPERLINK("#'" &amp; $B26 &amp; "'!B2",IF(VLOOKUP($B26,Languages!$A:$D,1,TRUE)=$B26,VLOOKUP($B26,Languages!$A:$D,Kybermittari!$C$7,TRUE),NA()))</f>
        <v>Kriittisten palveluiden suojaaminen</v>
      </c>
      <c r="E26" s="388"/>
      <c r="F26" s="328" t="str">
        <f ca="1">COUNTIF(Data!$A:$A,$B26) - COUNTIF(INDIRECT("'"&amp;$B26&amp;"'!"&amp;"$H:$H"),0) &amp; " / " &amp; COUNTIF(Data!$A:$A,$B26)</f>
        <v>0 / 27</v>
      </c>
      <c r="G26" s="328"/>
      <c r="H26" s="394"/>
      <c r="I26" s="395"/>
      <c r="J26" s="395"/>
      <c r="K26" s="374"/>
      <c r="L26" s="396"/>
      <c r="M26" s="347"/>
      <c r="N26" s="348"/>
      <c r="O26" s="347"/>
      <c r="P26" s="370"/>
      <c r="Q26" s="370"/>
      <c r="R26" s="371"/>
      <c r="S26" s="371"/>
      <c r="T26" s="371"/>
      <c r="U26" s="371"/>
      <c r="V26" s="371"/>
      <c r="W26" s="371"/>
    </row>
    <row r="27" spans="1:23" s="372" customFormat="1" ht="22" customHeight="1" x14ac:dyDescent="0.25">
      <c r="A27" s="347"/>
      <c r="B27" s="380" t="s">
        <v>0</v>
      </c>
      <c r="C27" s="392">
        <f ca="1">RIGHT(F27,2) - LEFT(F27,2)</f>
        <v>22</v>
      </c>
      <c r="D27" s="729" t="str">
        <f>HYPERLINK("#'" &amp; $B27 &amp; "'!B2",IF(VLOOKUP($B27,Languages!$A:$D,1,TRUE)=$B27,VLOOKUP($B27,Languages!$A:$D,Kybermittari!$C$7,TRUE),NA()))</f>
        <v>Riskienhallinta</v>
      </c>
      <c r="E27" s="730"/>
      <c r="F27" s="328" t="str">
        <f ca="1">COUNTIF(Data!$A:$A,$B27) - COUNTIF(INDIRECT("'"&amp;$B27&amp;"'!"&amp;"$H:$H"),0) &amp; " / " &amp; COUNTIF(Data!$A:$A,$B27)</f>
        <v>0 / 22</v>
      </c>
      <c r="G27" s="397">
        <f ca="1">RIGHT(J27,2) - LEFT(J27,2)</f>
        <v>29</v>
      </c>
      <c r="H27" s="734" t="str">
        <f>HYPERLINK("#'" &amp; $L27 &amp; "'!B2",IF(VLOOKUP($L27,Languages!$A:$D,1,TRUE)=$L27,VLOOKUP($L27,Languages!$A:$D,Kybermittari!$C$7,TRUE),NA()))</f>
        <v>Tilannekuva</v>
      </c>
      <c r="I27" s="735"/>
      <c r="J27" s="328" t="str">
        <f ca="1">COUNTIF(Data!$A:$A,$L27) - COUNTIF(INDIRECT("'"&amp;$L27&amp;"'!"&amp;"$H:$H"),0) &amp; " / " &amp; COUNTIF(Data!$A:$A,$L27)</f>
        <v>0 / 29</v>
      </c>
      <c r="K27" s="398"/>
      <c r="L27" s="399" t="s">
        <v>72</v>
      </c>
      <c r="M27" s="347"/>
      <c r="N27" s="348"/>
      <c r="O27" s="347"/>
      <c r="P27" s="370"/>
      <c r="Q27" s="370"/>
      <c r="R27" s="371"/>
      <c r="S27" s="371"/>
      <c r="T27" s="371"/>
      <c r="U27" s="371"/>
      <c r="V27" s="371"/>
      <c r="W27" s="371"/>
    </row>
    <row r="28" spans="1:23" s="372" customFormat="1" ht="22" customHeight="1" x14ac:dyDescent="0.25">
      <c r="A28" s="347"/>
      <c r="B28" s="380" t="s">
        <v>77</v>
      </c>
      <c r="C28" s="392">
        <f t="shared" ca="1" si="0"/>
        <v>28</v>
      </c>
      <c r="D28" s="729" t="str">
        <f>HYPERLINK("#'" &amp; $B28 &amp; "'!B2",IF(VLOOKUP($B28,Languages!$A:$D,1,TRUE)=$B28,VLOOKUP($B28,Languages!$A:$D,Kybermittari!$C$7,TRUE),NA()))</f>
        <v>Toimitusketjun ja ulkoisten riippuvuuksien hallinta</v>
      </c>
      <c r="E28" s="730"/>
      <c r="F28" s="328" t="str">
        <f ca="1">COUNTIF(Data!$A:$A,$B28) - COUNTIF(INDIRECT("'"&amp;$B28&amp;"'!"&amp;"$H:$H"),0) &amp; " / " &amp; COUNTIF(Data!$A:$A,$B28)</f>
        <v>0 / 28</v>
      </c>
      <c r="G28" s="397">
        <f ca="1">RIGHT(J28,2) - LEFT(J28,2)</f>
        <v>32</v>
      </c>
      <c r="H28" s="734" t="str">
        <f>HYPERLINK("#'" &amp; $L28 &amp; "'!B2",IF(VLOOKUP($L28,Languages!$A:$D,1,TRUE)=$L28,VLOOKUP($L28,Languages!$A:$D,Kybermittari!$C$7,TRUE),NA()))</f>
        <v>Tapahtumien ja häiriötilanteiden hallinta</v>
      </c>
      <c r="I28" s="735"/>
      <c r="J28" s="328" t="str">
        <f ca="1">COUNTIF(Data!$A:$A,$L28) - COUNTIF(INDIRECT("'"&amp;$L28&amp;"'!"&amp;"$H:$H"),0) &amp; " / " &amp; COUNTIF(Data!$A:$A,$L28)</f>
        <v>0 / 32</v>
      </c>
      <c r="K28" s="398"/>
      <c r="L28" s="399" t="s">
        <v>74</v>
      </c>
      <c r="M28" s="347"/>
      <c r="N28" s="348"/>
      <c r="O28" s="347"/>
      <c r="P28" s="370"/>
      <c r="Q28" s="370"/>
      <c r="R28" s="371"/>
      <c r="S28" s="371"/>
      <c r="T28" s="371"/>
      <c r="U28" s="371"/>
      <c r="V28" s="371"/>
      <c r="W28" s="371"/>
    </row>
    <row r="29" spans="1:23" s="372" customFormat="1" ht="22" customHeight="1" x14ac:dyDescent="0.25">
      <c r="A29" s="347"/>
      <c r="B29" s="380" t="s">
        <v>51</v>
      </c>
      <c r="C29" s="392">
        <f t="shared" ca="1" si="0"/>
        <v>31</v>
      </c>
      <c r="D29" s="729" t="str">
        <f>HYPERLINK("#'" &amp; $B29 &amp; "'!B2",IF(VLOOKUP($B29,Languages!$A:$D,1,TRUE)=$B29,VLOOKUP($B29,Languages!$A:$D,Kybermittari!$C$7,TRUE),NA()))</f>
        <v>Omaisuuden, muutoksen ja konfiguraation hallinta</v>
      </c>
      <c r="E29" s="730"/>
      <c r="F29" s="328" t="str">
        <f ca="1">COUNTIF(Data!$A:$A,$B29) - COUNTIF(INDIRECT("'"&amp;$B29&amp;"'!"&amp;"$H:$H"),0) &amp; " / " &amp; COUNTIF(Data!$A:$A,$B29)</f>
        <v>0 / 31</v>
      </c>
      <c r="G29" s="397">
        <f ca="1">RIGHT(J29,2) - LEFT(J29,2)</f>
        <v>30</v>
      </c>
      <c r="H29" s="734" t="str">
        <f>HYPERLINK("#'" &amp; $L29 &amp; "'!B2",IF(VLOOKUP($L29,Languages!$A:$D,1,TRUE)=$L29,VLOOKUP($L29,Languages!$A:$D,Kybermittari!$C$7,TRUE),NA()))</f>
        <v>Henkilöstön hallinta</v>
      </c>
      <c r="I29" s="735"/>
      <c r="J29" s="328" t="str">
        <f ca="1">COUNTIF(Data!$A:$A,$L29) - COUNTIF(INDIRECT("'"&amp;$L29&amp;"'!"&amp;"$H:$H"),0) &amp; " / " &amp; COUNTIF(Data!$A:$A,$L29)</f>
        <v>0 / 30</v>
      </c>
      <c r="K29" s="398"/>
      <c r="L29" s="399" t="s">
        <v>80</v>
      </c>
      <c r="M29" s="347"/>
      <c r="N29" s="348"/>
      <c r="O29" s="347"/>
      <c r="P29" s="370"/>
      <c r="Q29" s="370"/>
      <c r="R29" s="371"/>
      <c r="S29" s="371"/>
      <c r="T29" s="371"/>
      <c r="U29" s="371"/>
      <c r="V29" s="371"/>
      <c r="W29" s="371"/>
    </row>
    <row r="30" spans="1:23" s="372" customFormat="1" ht="22" customHeight="1" x14ac:dyDescent="0.25">
      <c r="A30" s="347"/>
      <c r="B30" s="380" t="s">
        <v>64</v>
      </c>
      <c r="C30" s="392">
        <f t="shared" ca="1" si="0"/>
        <v>22</v>
      </c>
      <c r="D30" s="729" t="str">
        <f>HYPERLINK("#'" &amp; $B30 &amp; "'!B2",IF(VLOOKUP($B30,Languages!$A:$D,1,TRUE)=$B30,VLOOKUP($B30,Languages!$A:$D,Kybermittari!$C$7,TRUE),NA()))</f>
        <v>Identiteetin- ja pääsynhallinta</v>
      </c>
      <c r="E30" s="730"/>
      <c r="F30" s="328" t="str">
        <f ca="1">COUNTIF(Data!$A:$A,$B30) - COUNTIF(INDIRECT("'"&amp;$B30&amp;"'!"&amp;"$H:$H"),0) &amp; " / " &amp; COUNTIF(Data!$A:$A,$B30)</f>
        <v>0 / 22</v>
      </c>
      <c r="G30" s="397">
        <f ca="1">RIGHT(J30,2) - LEFT(J30,2)</f>
        <v>32</v>
      </c>
      <c r="H30" s="734" t="str">
        <f>HYPERLINK("#'" &amp; $L30 &amp; "'!B2",IF(VLOOKUP($L30,Languages!$A:$D,1,TRUE)=$L30,VLOOKUP($L30,Languages!$A:$D,Kybermittari!$C$7,TRUE),NA()))</f>
        <v>Kyberturvallisuusarkkitehtuuri</v>
      </c>
      <c r="I30" s="735"/>
      <c r="J30" s="328" t="str">
        <f ca="1">COUNTIF(Data!$A:$A,$L30) - COUNTIF(INDIRECT("'"&amp;$L30&amp;"'!"&amp;"$H:$H"),0) &amp; " / " &amp; COUNTIF(Data!$A:$A,$L30)</f>
        <v>0 / 32</v>
      </c>
      <c r="K30" s="398"/>
      <c r="L30" s="399" t="s">
        <v>83</v>
      </c>
      <c r="M30" s="347"/>
      <c r="N30" s="348"/>
      <c r="O30" s="347"/>
      <c r="P30" s="370"/>
      <c r="Q30" s="370"/>
      <c r="R30" s="371"/>
      <c r="S30" s="371"/>
      <c r="T30" s="371"/>
      <c r="U30" s="371"/>
      <c r="V30" s="371"/>
      <c r="W30" s="371"/>
    </row>
    <row r="31" spans="1:23" s="372" customFormat="1" ht="22" customHeight="1" x14ac:dyDescent="0.25">
      <c r="A31" s="347"/>
      <c r="B31" s="380" t="s">
        <v>69</v>
      </c>
      <c r="C31" s="392">
        <f t="shared" ca="1" si="0"/>
        <v>32</v>
      </c>
      <c r="D31" s="729" t="str">
        <f>HYPERLINK("#'" &amp; $B31 &amp; "'!B2",IF(VLOOKUP($B31,Languages!$A:$D,1,TRUE)=$B31,VLOOKUP($B31,Languages!$A:$D,Kybermittari!$C$7,TRUE),NA()))</f>
        <v>Uhkien ja haavoittuvuuksien hallinta</v>
      </c>
      <c r="E31" s="730"/>
      <c r="F31" s="328" t="str">
        <f ca="1">COUNTIF(Data!$A:$A,$B31) - COUNTIF(INDIRECT("'"&amp;$B31&amp;"'!"&amp;"$H:$H"),0) &amp; " / " &amp; COUNTIF(Data!$A:$A,$B31)</f>
        <v>0 / 32</v>
      </c>
      <c r="G31" s="397">
        <f ca="1">RIGHT(J31,2) - LEFT(J31,2)</f>
        <v>40</v>
      </c>
      <c r="H31" s="734" t="str">
        <f>HYPERLINK("#'" &amp; $L31 &amp; "'!B2",IF(VLOOKUP($L31,Languages!$A:$D,1,TRUE)=$L31,VLOOKUP($L31,Languages!$A:$D,Kybermittari!$C$7,TRUE),NA()))</f>
        <v>Kyberturvallisuusohjelma</v>
      </c>
      <c r="I31" s="735"/>
      <c r="J31" s="328" t="str">
        <f ca="1">COUNTIF(Data!$A:$A,$L31) - COUNTIF(INDIRECT("'"&amp;$L31&amp;"'!"&amp;"$H:$H"),0) &amp; " / " &amp; COUNTIF(Data!$A:$A,$L31)</f>
        <v>0 / 40</v>
      </c>
      <c r="K31" s="398"/>
      <c r="L31" s="399" t="s">
        <v>85</v>
      </c>
      <c r="M31" s="347"/>
      <c r="N31" s="348"/>
      <c r="O31" s="347"/>
      <c r="P31" s="370"/>
      <c r="Q31" s="370"/>
      <c r="R31" s="371"/>
      <c r="S31" s="371"/>
      <c r="T31" s="371"/>
      <c r="U31" s="371"/>
      <c r="V31" s="371"/>
      <c r="W31" s="371"/>
    </row>
    <row r="32" spans="1:23" s="343" customFormat="1" ht="20" customHeight="1" x14ac:dyDescent="0.25">
      <c r="A32" s="340"/>
      <c r="B32" s="380">
        <v>22</v>
      </c>
      <c r="C32" s="381">
        <f>IF(SUM(Investment!F19:L19)=0,0,1)</f>
        <v>0</v>
      </c>
      <c r="D32" s="338" t="str">
        <f>IF(VLOOKUP(CONCATENATE($C$3,"-",B32),Languages!$A:$D,1,TRUE)=CONCATENATE($C$3,"-",B32),VLOOKUP(CONCATENATE($C$3,"-",B32),Languages!$A:$D,Kybermittari!$C$7,TRUE),NA())</f>
        <v>Kyberturvallisuuden investointien taso</v>
      </c>
      <c r="E32" s="400"/>
      <c r="G32" s="401"/>
      <c r="H32" s="382"/>
      <c r="I32" s="402"/>
      <c r="J32" s="403"/>
      <c r="K32" s="403"/>
      <c r="L32" s="404"/>
      <c r="M32" s="340"/>
      <c r="N32" s="348"/>
      <c r="O32" s="340"/>
      <c r="P32" s="341"/>
      <c r="Q32" s="341"/>
      <c r="R32" s="342"/>
      <c r="S32" s="342"/>
      <c r="T32" s="342"/>
      <c r="U32" s="342"/>
      <c r="V32" s="342"/>
      <c r="W32" s="342"/>
    </row>
    <row r="33" spans="1:23" s="343" customFormat="1" ht="10" customHeight="1" x14ac:dyDescent="0.25">
      <c r="A33" s="340"/>
      <c r="B33" s="380"/>
      <c r="C33" s="381"/>
      <c r="D33" s="382"/>
      <c r="E33" s="405"/>
      <c r="F33" s="406"/>
      <c r="G33" s="401"/>
      <c r="H33" s="382"/>
      <c r="I33" s="402"/>
      <c r="J33" s="403"/>
      <c r="K33" s="403"/>
      <c r="L33" s="407"/>
      <c r="M33" s="340"/>
      <c r="N33" s="348"/>
      <c r="O33" s="340"/>
      <c r="P33" s="341"/>
      <c r="Q33" s="341"/>
      <c r="R33" s="342"/>
      <c r="S33" s="342"/>
      <c r="T33" s="342"/>
      <c r="U33" s="342"/>
      <c r="V33" s="342"/>
      <c r="W33" s="342"/>
    </row>
    <row r="34" spans="1:23" s="351" customFormat="1" ht="20" customHeight="1" x14ac:dyDescent="0.25">
      <c r="A34" s="408"/>
      <c r="B34" s="380">
        <v>23</v>
      </c>
      <c r="D34" s="740" t="str">
        <f>HYPERLINK("#'" &amp; "Investment" &amp; "'!B2",IF(VLOOKUP(CONCATENATE($C$3,"-",B34),Languages!$A:$D,1,TRUE)=CONCATENATE($C$3,"-",B34),VLOOKUP(CONCATENATE($C$3,"-",B34),Languages!$A:$D,Kybermittari!$C$7,TRUE),NA()))</f>
        <v>Kyberturvallisuuden investointien taso (Investment-välilehti)</v>
      </c>
      <c r="E34" s="740"/>
      <c r="F34" s="740"/>
      <c r="G34" s="409"/>
      <c r="H34" s="410"/>
      <c r="I34" s="411"/>
      <c r="J34" s="412"/>
      <c r="K34" s="412"/>
      <c r="L34" s="413"/>
      <c r="M34" s="408"/>
      <c r="N34" s="348"/>
      <c r="O34" s="408"/>
      <c r="P34" s="349"/>
      <c r="Q34" s="349"/>
      <c r="R34" s="350"/>
      <c r="S34" s="350"/>
      <c r="T34" s="350"/>
      <c r="U34" s="350"/>
      <c r="V34" s="350"/>
      <c r="W34" s="350"/>
    </row>
    <row r="35" spans="1:23" s="351" customFormat="1" ht="10" customHeight="1" x14ac:dyDescent="0.25">
      <c r="A35" s="408"/>
      <c r="B35" s="380"/>
      <c r="D35" s="414"/>
      <c r="E35" s="414"/>
      <c r="F35" s="414"/>
      <c r="G35" s="409"/>
      <c r="H35" s="410"/>
      <c r="I35" s="411"/>
      <c r="J35" s="412"/>
      <c r="K35" s="412"/>
      <c r="L35" s="413"/>
      <c r="M35" s="408"/>
      <c r="N35" s="348"/>
      <c r="O35" s="408"/>
      <c r="P35" s="349"/>
      <c r="Q35" s="349"/>
      <c r="R35" s="350"/>
      <c r="S35" s="350"/>
      <c r="T35" s="350"/>
      <c r="U35" s="350"/>
      <c r="V35" s="350"/>
      <c r="W35" s="350"/>
    </row>
    <row r="36" spans="1:23" s="343" customFormat="1" ht="25" customHeight="1" x14ac:dyDescent="0.25">
      <c r="A36" s="332"/>
      <c r="B36" s="380"/>
      <c r="C36" s="334">
        <v>30</v>
      </c>
      <c r="D36" s="335" t="str">
        <f>IF(VLOOKUP(CONCATENATE($C$3,"-",C36),Languages!$A:$D,1,TRUE)=CONCATENATE($C$3,"-",C36),VLOOKUP(CONCATENATE($C$3,"-",C36),Languages!$A:$D,Kybermittari!$C$7,TRUE),NA())</f>
        <v>Tulokset ja vertailutiedot</v>
      </c>
      <c r="E36" s="336"/>
      <c r="F36" s="336"/>
      <c r="G36" s="337"/>
      <c r="H36" s="336"/>
      <c r="I36" s="336" t="str">
        <f>IFERROR(INT(LEFT(#REF!,1)),"")</f>
        <v/>
      </c>
      <c r="J36" s="336"/>
      <c r="K36" s="338"/>
      <c r="L36" s="339"/>
      <c r="M36" s="340"/>
      <c r="N36" s="300"/>
      <c r="O36" s="340"/>
      <c r="P36" s="341"/>
      <c r="Q36" s="370"/>
      <c r="R36" s="342"/>
      <c r="S36" s="342"/>
      <c r="T36" s="342"/>
      <c r="U36" s="342"/>
      <c r="V36" s="342"/>
      <c r="W36" s="342"/>
    </row>
    <row r="37" spans="1:23" s="351" customFormat="1" ht="10" customHeight="1" x14ac:dyDescent="0.25">
      <c r="A37" s="344"/>
      <c r="B37" s="380"/>
      <c r="C37" s="728"/>
      <c r="D37" s="728"/>
      <c r="E37" s="728"/>
      <c r="F37" s="728"/>
      <c r="G37" s="728"/>
      <c r="H37" s="728"/>
      <c r="I37" s="728"/>
      <c r="J37" s="728"/>
      <c r="K37" s="331"/>
      <c r="L37" s="346"/>
      <c r="M37" s="347"/>
      <c r="N37" s="348"/>
      <c r="O37" s="347"/>
      <c r="P37" s="349"/>
      <c r="Q37" s="349"/>
      <c r="R37" s="350"/>
      <c r="S37" s="350"/>
      <c r="T37" s="350"/>
      <c r="U37" s="350"/>
      <c r="V37" s="350"/>
      <c r="W37" s="350"/>
    </row>
    <row r="38" spans="1:23" s="372" customFormat="1" ht="22" customHeight="1" x14ac:dyDescent="0.25">
      <c r="A38" s="347"/>
      <c r="B38" s="380">
        <v>31</v>
      </c>
      <c r="C38" s="415"/>
      <c r="D38" s="739" t="str">
        <f>HYPERLINK("#'" &amp; "DataExport" &amp; "'!B2",IF(VLOOKUP(CONCATENATE($C$3,"-",B38),Languages!$A:$D,1,TRUE)=CONCATENATE($C$3,"-",B38),VLOOKUP(CONCATENATE($C$3,"-",B38),Languages!$A:$D,Kybermittari!$C$7,TRUE),NA()))</f>
        <v>Tulosten vienti ja tuonti (DataExport-välilehti)</v>
      </c>
      <c r="E38" s="739"/>
      <c r="F38" s="739"/>
      <c r="G38" s="390"/>
      <c r="J38" s="355"/>
      <c r="K38" s="355"/>
      <c r="L38" s="369"/>
      <c r="M38" s="347"/>
      <c r="N38" s="348"/>
      <c r="O38" s="347"/>
      <c r="P38" s="370"/>
      <c r="Q38" s="370"/>
      <c r="R38" s="371"/>
      <c r="S38" s="371"/>
      <c r="T38" s="371"/>
      <c r="U38" s="371"/>
      <c r="V38" s="371"/>
      <c r="W38" s="371"/>
    </row>
    <row r="39" spans="1:23" s="372" customFormat="1" ht="10" customHeight="1" x14ac:dyDescent="0.25">
      <c r="A39" s="347"/>
      <c r="B39" s="380"/>
      <c r="C39" s="391"/>
      <c r="D39" s="416"/>
      <c r="E39" s="417"/>
      <c r="F39" s="418"/>
      <c r="G39" s="390"/>
      <c r="J39" s="355"/>
      <c r="K39" s="355"/>
      <c r="L39" s="369"/>
      <c r="M39" s="347"/>
      <c r="N39" s="348"/>
      <c r="O39" s="347"/>
      <c r="P39" s="370"/>
      <c r="Q39" s="370"/>
      <c r="R39" s="371"/>
      <c r="S39" s="371"/>
      <c r="T39" s="371"/>
      <c r="U39" s="371"/>
      <c r="V39" s="371"/>
      <c r="W39" s="371"/>
    </row>
    <row r="40" spans="1:23" s="372" customFormat="1" ht="22" customHeight="1" x14ac:dyDescent="0.25">
      <c r="A40" s="347"/>
      <c r="B40" s="380">
        <v>32</v>
      </c>
      <c r="C40" s="415"/>
      <c r="D40" s="737" t="str">
        <f>HYPERLINK("#'" &amp; "R1" &amp; "'!B2",IF(VLOOKUP(CONCATENATE($C$3,"-",B40),Languages!$A:$D,1,TRUE)=CONCATENATE($C$3,"-",B40),VLOOKUP(CONCATENATE($C$3,"-",B40),Languages!$A:$D,Kybermittari!$C$7,TRUE),NA()))</f>
        <v>Johdon kypsyysraportti (R1-välilehti)</v>
      </c>
      <c r="E40" s="737"/>
      <c r="F40" s="737"/>
      <c r="K40" s="355"/>
      <c r="L40" s="369"/>
      <c r="M40" s="347"/>
      <c r="N40" s="348"/>
      <c r="O40" s="347"/>
      <c r="P40" s="370"/>
      <c r="Q40" s="370"/>
      <c r="R40" s="371"/>
      <c r="S40" s="371"/>
      <c r="T40" s="371"/>
      <c r="U40" s="371"/>
      <c r="V40" s="371"/>
      <c r="W40" s="371"/>
    </row>
    <row r="41" spans="1:23" s="372" customFormat="1" ht="22" customHeight="1" x14ac:dyDescent="0.25">
      <c r="A41" s="347"/>
      <c r="B41" s="380">
        <v>33</v>
      </c>
      <c r="C41" s="415"/>
      <c r="D41" s="737" t="str">
        <f>HYPERLINK("#'" &amp; "R2" &amp; "'!B2",IF(VLOOKUP(CONCATENATE($C$3,"-",B41),Languages!$A:$D,1,TRUE)=CONCATENATE($C$3,"-",B41),VLOOKUP(CONCATENATE($C$3,"-",B41),Languages!$A:$D,Kybermittari!$C$7,TRUE),NA()))</f>
        <v>Kybermittarin kypsyysraportti (R2-välilehti)</v>
      </c>
      <c r="E41" s="737"/>
      <c r="F41" s="737"/>
      <c r="G41" s="419">
        <v>34</v>
      </c>
      <c r="H41" s="738" t="str">
        <f>HYPERLINK("#'" &amp; "R3" &amp; "'!B2",IF(VLOOKUP(CONCATENATE($C$3,"-",G41),Languages!$A:$D,1,TRUE)=CONCATENATE($C$3,"-",G41),VLOOKUP(CONCATENATE($C$3,"-",G41),Languages!$A:$D,Kybermittari!$C$7,TRUE),NA()))</f>
        <v>Yksityiskohtainen NIST Framework Core -raportti (R3-välilehti)</v>
      </c>
      <c r="I41" s="738"/>
      <c r="J41" s="738"/>
      <c r="K41" s="355"/>
      <c r="L41" s="369"/>
      <c r="M41" s="347"/>
      <c r="N41" s="348"/>
      <c r="O41" s="347"/>
      <c r="P41" s="370"/>
      <c r="Q41" s="370"/>
      <c r="R41" s="371"/>
      <c r="S41" s="371"/>
      <c r="T41" s="371"/>
      <c r="U41" s="371"/>
      <c r="V41" s="371"/>
      <c r="W41" s="371"/>
    </row>
    <row r="42" spans="1:23" s="372" customFormat="1" ht="18" customHeight="1" x14ac:dyDescent="0.25">
      <c r="A42" s="347"/>
      <c r="B42" s="373"/>
      <c r="C42" s="415"/>
      <c r="D42" s="420"/>
      <c r="E42" s="417"/>
      <c r="F42" s="418"/>
      <c r="G42" s="354"/>
      <c r="H42" s="421"/>
      <c r="I42" s="421"/>
      <c r="J42" s="355"/>
      <c r="K42" s="355"/>
      <c r="L42" s="369"/>
      <c r="M42" s="347"/>
      <c r="N42" s="348"/>
      <c r="O42" s="347"/>
      <c r="P42" s="370"/>
      <c r="Q42" s="370"/>
      <c r="R42" s="371"/>
      <c r="S42" s="371"/>
      <c r="T42" s="371"/>
      <c r="U42" s="371"/>
      <c r="V42" s="371"/>
      <c r="W42" s="371"/>
    </row>
    <row r="43" spans="1:23" s="303" customFormat="1" ht="11.5" x14ac:dyDescent="0.25">
      <c r="A43" s="422"/>
      <c r="B43" s="423"/>
      <c r="C43" s="424"/>
      <c r="D43" s="425"/>
      <c r="E43" s="425"/>
      <c r="F43" s="425"/>
      <c r="G43" s="426"/>
      <c r="H43" s="427"/>
      <c r="I43" s="428"/>
      <c r="J43" s="428"/>
      <c r="K43" s="428"/>
      <c r="L43" s="429"/>
      <c r="M43" s="422"/>
      <c r="N43" s="300"/>
      <c r="O43" s="422"/>
      <c r="P43" s="301"/>
      <c r="Q43" s="301"/>
      <c r="R43" s="302"/>
      <c r="S43" s="302"/>
      <c r="T43" s="302"/>
      <c r="U43" s="302"/>
      <c r="V43" s="302"/>
      <c r="W43" s="302"/>
    </row>
    <row r="44" spans="1:23" s="303" customFormat="1" ht="11.5" x14ac:dyDescent="0.25">
      <c r="A44" s="422"/>
      <c r="B44" s="422"/>
      <c r="C44" s="430"/>
      <c r="D44" s="422"/>
      <c r="E44" s="422"/>
      <c r="F44" s="422"/>
      <c r="G44" s="431"/>
      <c r="H44" s="431"/>
      <c r="I44" s="422"/>
      <c r="J44" s="422"/>
      <c r="K44" s="422"/>
      <c r="L44" s="422"/>
      <c r="M44" s="422"/>
      <c r="N44" s="432"/>
      <c r="O44" s="422"/>
      <c r="P44" s="301"/>
      <c r="Q44" s="301"/>
      <c r="R44" s="302"/>
      <c r="S44" s="302"/>
      <c r="T44" s="302"/>
      <c r="U44" s="302"/>
      <c r="V44" s="302"/>
      <c r="W44" s="302"/>
    </row>
  </sheetData>
  <sheetProtection sheet="1" objects="1" scenarios="1"/>
  <mergeCells count="29">
    <mergeCell ref="D40:F40"/>
    <mergeCell ref="D41:F41"/>
    <mergeCell ref="H41:J41"/>
    <mergeCell ref="D38:F38"/>
    <mergeCell ref="D28:E28"/>
    <mergeCell ref="H28:I28"/>
    <mergeCell ref="H29:I29"/>
    <mergeCell ref="D31:E31"/>
    <mergeCell ref="C37:J37"/>
    <mergeCell ref="H30:I30"/>
    <mergeCell ref="H31:I31"/>
    <mergeCell ref="D34:F34"/>
    <mergeCell ref="D29:E29"/>
    <mergeCell ref="E7:F7"/>
    <mergeCell ref="D20:J20"/>
    <mergeCell ref="D16:J16"/>
    <mergeCell ref="C6:J6"/>
    <mergeCell ref="D30:E30"/>
    <mergeCell ref="C23:J23"/>
    <mergeCell ref="E12:F12"/>
    <mergeCell ref="E13:F13"/>
    <mergeCell ref="I13:J13"/>
    <mergeCell ref="I12:J12"/>
    <mergeCell ref="D19:E19"/>
    <mergeCell ref="C10:J10"/>
    <mergeCell ref="D27:E27"/>
    <mergeCell ref="H27:I27"/>
    <mergeCell ref="E11:F11"/>
    <mergeCell ref="I11:J11"/>
  </mergeCells>
  <conditionalFormatting sqref="E13 D19">
    <cfRule type="expression" dxfId="76" priority="108">
      <formula>ISBLANK(D13)</formula>
    </cfRule>
  </conditionalFormatting>
  <conditionalFormatting sqref="C12 C16:C17">
    <cfRule type="expression" dxfId="75" priority="289">
      <formula>OR(ISBLANK(#REF!),ISNUMBER(SEARCH("0",#REF!)))</formula>
    </cfRule>
  </conditionalFormatting>
  <conditionalFormatting sqref="E11">
    <cfRule type="expression" dxfId="74" priority="77">
      <formula>ISBLANK(E11)</formula>
    </cfRule>
  </conditionalFormatting>
  <conditionalFormatting sqref="I11">
    <cfRule type="expression" dxfId="73" priority="76">
      <formula>ISBLANK(I11)</formula>
    </cfRule>
  </conditionalFormatting>
  <conditionalFormatting sqref="C15">
    <cfRule type="expression" dxfId="72" priority="67">
      <formula>ISBLANK(D16)</formula>
    </cfRule>
  </conditionalFormatting>
  <conditionalFormatting sqref="I13">
    <cfRule type="expression" dxfId="71" priority="40">
      <formula>ISBLANK(I13)</formula>
    </cfRule>
  </conditionalFormatting>
  <conditionalFormatting sqref="C11 G11">
    <cfRule type="expression" dxfId="70" priority="432">
      <formula>ISBLANK(E11:E13)</formula>
    </cfRule>
  </conditionalFormatting>
  <conditionalFormatting sqref="E12">
    <cfRule type="expression" dxfId="69" priority="17">
      <formula>ISBLANK(E12)</formula>
    </cfRule>
  </conditionalFormatting>
  <conditionalFormatting sqref="C18:C21">
    <cfRule type="expression" dxfId="68" priority="445">
      <formula>ISBLANK(#REF!)</formula>
    </cfRule>
  </conditionalFormatting>
  <pageMargins left="0.7" right="0.7" top="0.75" bottom="0.75" header="0.3" footer="0.3"/>
  <pageSetup paperSize="9" orientation="portrait" r:id="rId1"/>
  <ignoredErrors>
    <ignoredError sqref="E30 E29 E28 E31 E27 D30 D27 D33:E33 D31 D28 D29 E32 F27:F31 J27:J31"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86" id="{072F995F-3F9A-4287-B222-E733D615F111}">
            <x14:iconSet iconSet="3Flags" showValue="0" custom="1">
              <x14:cfvo type="percent">
                <xm:f>0</xm:f>
              </x14:cfvo>
              <x14:cfvo type="num">
                <xm:f>0</xm:f>
              </x14:cfvo>
              <x14:cfvo type="num">
                <xm:f>1</xm:f>
              </x14:cfvo>
              <x14:cfIcon iconSet="3Flags" iconId="0"/>
              <x14:cfIcon iconSet="3Flags" iconId="0"/>
              <x14:cfIcon iconSet="3Symbols2" iconId="2"/>
            </x14:iconSet>
          </x14:cfRule>
          <xm:sqref>C11</xm:sqref>
        </x14:conditionalFormatting>
        <x14:conditionalFormatting xmlns:xm="http://schemas.microsoft.com/office/excel/2006/main">
          <x14:cfRule type="iconSet" priority="70" id="{28A2D932-6CDB-438B-A98B-9FEFD1E0338F}">
            <x14:iconSet iconSet="3Flags" showValue="0" custom="1">
              <x14:cfvo type="percent">
                <xm:f>0</xm:f>
              </x14:cfvo>
              <x14:cfvo type="num">
                <xm:f>0</xm:f>
              </x14:cfvo>
              <x14:cfvo type="num">
                <xm:f>1</xm:f>
              </x14:cfvo>
              <x14:cfIcon iconSet="3Flags" iconId="0"/>
              <x14:cfIcon iconSet="3Flags" iconId="0"/>
              <x14:cfIcon iconSet="3Symbols2" iconId="2"/>
            </x14:iconSet>
          </x14:cfRule>
          <xm:sqref>G11</xm:sqref>
        </x14:conditionalFormatting>
        <x14:conditionalFormatting xmlns:xm="http://schemas.microsoft.com/office/excel/2006/main">
          <x14:cfRule type="iconSet" priority="66" id="{C74246E5-E54B-4611-A3C5-57E54C95BC50}">
            <x14:iconSet iconSet="3Flags" showValue="0" custom="1">
              <x14:cfvo type="percent">
                <xm:f>0</xm:f>
              </x14:cfvo>
              <x14:cfvo type="num">
                <xm:f>0</xm:f>
              </x14:cfvo>
              <x14:cfvo type="num">
                <xm:f>1</xm:f>
              </x14:cfvo>
              <x14:cfIcon iconSet="3Flags" iconId="0"/>
              <x14:cfIcon iconSet="3Flags" iconId="0"/>
              <x14:cfIcon iconSet="3Symbols2" iconId="2"/>
            </x14:iconSet>
          </x14:cfRule>
          <xm:sqref>C15</xm:sqref>
        </x14:conditionalFormatting>
        <x14:conditionalFormatting xmlns:xm="http://schemas.microsoft.com/office/excel/2006/main">
          <x14:cfRule type="iconSet" priority="64" id="{0B87AA5D-14B4-43E8-8395-2E73CC005D87}">
            <x14:iconSet iconSet="3Flags" showValue="0" custom="1">
              <x14:cfvo type="percent">
                <xm:f>0</xm:f>
              </x14:cfvo>
              <x14:cfvo type="num">
                <xm:f>0</xm:f>
              </x14:cfvo>
              <x14:cfvo type="num">
                <xm:f>1</xm:f>
              </x14:cfvo>
              <x14:cfIcon iconSet="3Flags" iconId="0"/>
              <x14:cfIcon iconSet="3Flags" iconId="0"/>
              <x14:cfIcon iconSet="3Symbols2" iconId="2"/>
            </x14:iconSet>
          </x14:cfRule>
          <xm:sqref>C18:C21</xm:sqref>
        </x14:conditionalFormatting>
        <x14:conditionalFormatting xmlns:xm="http://schemas.microsoft.com/office/excel/2006/main">
          <x14:cfRule type="iconSet" priority="55" id="{9094AB06-5FEF-4C52-BB37-698D943C0887}">
            <x14:iconSet iconSet="3Flags" showValue="0" custom="1">
              <x14:cfvo type="percent">
                <xm:f>0</xm:f>
              </x14:cfvo>
              <x14:cfvo type="num">
                <xm:f>0</xm:f>
              </x14:cfvo>
              <x14:cfvo type="num">
                <xm:f>1</xm:f>
              </x14:cfvo>
              <x14:cfIcon iconSet="3Flags" iconId="0"/>
              <x14:cfIcon iconSet="3Flags" iconId="0"/>
              <x14:cfIcon iconSet="3Symbols2" iconId="2"/>
            </x14:iconSet>
          </x14:cfRule>
          <xm:sqref>C32:C33</xm:sqref>
        </x14:conditionalFormatting>
        <x14:conditionalFormatting xmlns:xm="http://schemas.microsoft.com/office/excel/2006/main">
          <x14:cfRule type="iconSet" priority="51" id="{67CE7C90-B51C-4C67-BAB9-8522EB402F08}">
            <x14:iconSet iconSet="3Flags" showValue="0" custom="1">
              <x14:cfvo type="percent">
                <xm:f>0</xm:f>
              </x14:cfvo>
              <x14:cfvo type="num">
                <xm:f>0</xm:f>
              </x14:cfvo>
              <x14:cfvo type="num">
                <xm:f>1</xm:f>
              </x14:cfvo>
              <x14:cfIcon iconSet="3Flags" iconId="0"/>
              <x14:cfIcon iconSet="3Flags" iconId="0"/>
              <x14:cfIcon iconSet="3Symbols2" iconId="2"/>
            </x14:iconSet>
          </x14:cfRule>
          <xm:sqref>C39</xm:sqref>
        </x14:conditionalFormatting>
        <x14:conditionalFormatting xmlns:xm="http://schemas.microsoft.com/office/excel/2006/main">
          <x14:cfRule type="iconSet" priority="29" id="{C0FF0534-C140-4962-8005-850F0007F934}">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438" id="{6D343EC2-B4D3-47E6-B43B-C62B09D74060}">
            <x14:iconSet iconSet="4TrafficLights" showValue="0" custom="1">
              <x14:cfvo type="percent">
                <xm:f>0</xm:f>
              </x14:cfvo>
              <x14:cfvo type="num">
                <xm:f>1</xm:f>
              </x14:cfvo>
              <x14:cfvo type="num">
                <xm:f>2</xm:f>
              </x14:cfvo>
              <x14:cfvo type="num">
                <xm:f>3</xm:f>
              </x14:cfvo>
              <x14:cfIcon iconSet="3Flags" iconId="0"/>
              <x14:cfIcon iconSet="3TrafficLights1" iconId="0"/>
              <x14:cfIcon iconSet="3TrafficLights1" iconId="1"/>
              <x14:cfIcon iconSet="3TrafficLights1" iconId="2"/>
            </x14:iconSet>
          </x14:cfRule>
          <xm:sqref>C12</xm:sqref>
        </x14:conditionalFormatting>
        <x14:conditionalFormatting xmlns:xm="http://schemas.microsoft.com/office/excel/2006/main">
          <x14:cfRule type="iconSet" priority="446" id="{1C45258F-5862-4DC9-B35C-77A5CFCD0C35}">
            <x14:iconSet iconSet="4TrafficLights" showValue="0" custom="1">
              <x14:cfvo type="percent">
                <xm:f>0</xm:f>
              </x14:cfvo>
              <x14:cfvo type="num">
                <xm:f>1</xm:f>
              </x14:cfvo>
              <x14:cfvo type="num">
                <xm:f>2</xm:f>
              </x14:cfvo>
              <x14:cfvo type="num">
                <xm:f>3</xm:f>
              </x14:cfvo>
              <x14:cfIcon iconSet="3Flags" iconId="0"/>
              <x14:cfIcon iconSet="3TrafficLights1" iconId="0"/>
              <x14:cfIcon iconSet="3TrafficLights1" iconId="1"/>
              <x14:cfIcon iconSet="3TrafficLights1" iconId="2"/>
            </x14:iconSet>
          </x14:cfRule>
          <xm:sqref>C16:C17</xm:sqref>
        </x14:conditionalFormatting>
        <x14:conditionalFormatting xmlns:xm="http://schemas.microsoft.com/office/excel/2006/main">
          <x14:cfRule type="iconSet" priority="450" id="{0EC28153-D4A8-4FAD-8CFD-9FF15F93DA7B}">
            <x14:iconSet iconSet="3Flags" showValue="0" custom="1">
              <x14:cfvo type="percent">
                <xm:f>0</xm:f>
              </x14:cfvo>
              <x14:cfvo type="num">
                <xm:f>0</xm:f>
              </x14:cfvo>
              <x14:cfvo type="num">
                <xm:f>1</xm:f>
              </x14:cfvo>
              <x14:cfIcon iconSet="3Flags" iconId="0"/>
              <x14:cfIcon iconSet="3Flags" iconId="0"/>
              <x14:cfIcon iconSet="3Symbols2" iconId="2"/>
            </x14:iconSet>
          </x14:cfRule>
          <xm:sqref>C25</xm:sqref>
        </x14:conditionalFormatting>
        <x14:conditionalFormatting xmlns:xm="http://schemas.microsoft.com/office/excel/2006/main">
          <x14:cfRule type="iconSet" priority="4" id="{246C3C9E-0C0E-4DC9-9D54-F6AC0AAED825}">
            <x14:iconSet iconSet="3Flags" showValue="0" custom="1">
              <x14:cfvo type="percent">
                <xm:f>0</xm:f>
              </x14:cfvo>
              <x14:cfvo type="num" gte="0">
                <xm:f>0</xm:f>
              </x14:cfvo>
              <x14:cfvo type="num">
                <xm:f>1</xm:f>
              </x14:cfvo>
              <x14:cfIcon iconSet="3Symbols2" iconId="2"/>
              <x14:cfIcon iconSet="3Flags" iconId="0"/>
              <x14:cfIcon iconSet="3Flags" iconId="0"/>
            </x14:iconSet>
          </x14:cfRule>
          <xm:sqref>C24</xm:sqref>
        </x14:conditionalFormatting>
        <x14:conditionalFormatting xmlns:xm="http://schemas.microsoft.com/office/excel/2006/main">
          <x14:cfRule type="iconSet" priority="452" id="{B6E57DD4-7C25-4E5D-8EE3-19BDE4D3199C}">
            <x14:iconSet iconSet="3Flags" showValue="0" custom="1">
              <x14:cfvo type="percent">
                <xm:f>0</xm:f>
              </x14:cfvo>
              <x14:cfvo type="num">
                <xm:f>0</xm:f>
              </x14:cfvo>
              <x14:cfvo type="num">
                <xm:f>1</xm:f>
              </x14:cfvo>
              <x14:cfIcon iconSet="3Flags" iconId="0"/>
              <x14:cfIcon iconSet="3Flags" iconId="0"/>
              <x14:cfIcon iconSet="3Symbols2" iconId="2"/>
            </x14:iconSet>
          </x14:cfRule>
          <xm:sqref>G42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Parameters!$B$23:$B$25</xm:f>
          </x14:formula1>
          <xm:sqref>D19:E19</xm:sqref>
        </x14:dataValidation>
        <x14:dataValidation type="list" allowBlank="1" showInputMessage="1" showErrorMessage="1">
          <x14:formula1>
            <xm:f>Parameters!$B$26:$B$33</xm:f>
          </x14:formula1>
          <xm:sqref>E12:F12</xm:sqref>
        </x14:dataValidation>
        <x14:dataValidation type="list" allowBlank="1" showInputMessage="1" showErrorMessage="1">
          <x14:formula1>
            <xm:f>Parameters!$B$34:$B$61</xm:f>
          </x14:formula1>
          <xm:sqref>E13:F13</xm:sqref>
        </x14:dataValidation>
        <x14:dataValidation type="list" allowBlank="1" showInputMessage="1" showErrorMessage="1">
          <x14:formula1>
            <xm:f>Parameters!$D$2:$F$2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3"/>
  <sheetViews>
    <sheetView showGridLines="0" zoomScaleNormal="100" workbookViewId="0">
      <selection activeCell="J18" sqref="J18"/>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80</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Henkilöstön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0" t="str">
        <f>IF(VLOOKUP(CONCATENATE(C2,"-0"),Languages!$A:$D,1,TRUE)=CONCATENATE(C2,"-0"),VLOOKUP(CONCATENATE(C2,"-0"),Languages!$A:$D,Kybermittari!$C$7,TRUE),NA())</f>
        <v>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Kyberturvallisuuden vastuiden jakaminen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Kyberhenkilöstön kehittäminen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Henkilöstön hallintatoimet</v>
      </c>
      <c r="F8" s="607"/>
      <c r="G8" s="386"/>
      <c r="H8" s="610"/>
      <c r="I8" s="459" t="str">
        <f ca="1">VLOOKUP(VLOOKUP(CONCATENATE($C$2,"-",$C8),Data!$K:$O,5,FALSE),Parameters!$C$7:$F$10,Kybermittari!$C$7,FALSE)</f>
        <v>Kypsyystaso 0</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Kybertietoisuuden lisääminen</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Kyberturvallisuuden vastuiden jakaminen</v>
      </c>
      <c r="E11" s="336"/>
      <c r="F11" s="463"/>
      <c r="G11" s="463"/>
      <c r="H11" s="464"/>
      <c r="I11" s="464"/>
      <c r="J11" s="465"/>
      <c r="K11" s="466"/>
      <c r="L11" s="344"/>
      <c r="M11" s="533"/>
      <c r="N11" s="344"/>
      <c r="O11" s="341"/>
      <c r="P11" s="341"/>
    </row>
    <row r="12" spans="1:16" s="475" customFormat="1" ht="60.5" customHeight="1" x14ac:dyDescent="0.3">
      <c r="A12" s="469"/>
      <c r="B12" s="470"/>
      <c r="C12" s="745" t="str">
        <f>IF(VLOOKUP(CONCATENATE($C$2,"-",$C11,"-0"),Languages!$A:$D,1,TRUE)=CONCATENATE($C$2,"-",$C11,"-0"),VLOOKUP(CONCATENATE($C$2,"-",$C11,"-0"),Languages!$A:$D,Kybermittari!$C$7,TRUE),NA())</f>
        <v>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v>
      </c>
      <c r="D12" s="745"/>
      <c r="E12" s="745"/>
      <c r="F12" s="745"/>
      <c r="G12" s="745"/>
      <c r="H12" s="745"/>
      <c r="I12" s="745"/>
      <c r="J12" s="745"/>
      <c r="K12" s="471"/>
      <c r="L12" s="483"/>
      <c r="M12" s="545"/>
      <c r="N12" s="483"/>
      <c r="O12" s="473"/>
      <c r="P12" s="473"/>
    </row>
    <row r="13" spans="1:16" s="547" customFormat="1" ht="20" customHeight="1" x14ac:dyDescent="0.3">
      <c r="A13" s="48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546"/>
      <c r="P13" s="546"/>
    </row>
    <row r="14" spans="1:16" s="547" customFormat="1" ht="10" customHeight="1" x14ac:dyDescent="0.3">
      <c r="A14" s="483"/>
      <c r="B14" s="476"/>
      <c r="C14" s="487"/>
      <c r="D14" s="487"/>
      <c r="E14" s="488"/>
      <c r="F14" s="489"/>
      <c r="G14" s="490"/>
      <c r="H14" s="491"/>
      <c r="I14" s="488"/>
      <c r="J14" s="490"/>
      <c r="K14" s="482"/>
      <c r="L14" s="483"/>
      <c r="M14" s="545"/>
      <c r="N14" s="483"/>
      <c r="O14" s="546"/>
      <c r="P14" s="546"/>
    </row>
    <row r="15" spans="1:16" s="495" customFormat="1" ht="35" customHeight="1" x14ac:dyDescent="0.3">
      <c r="A15" s="469"/>
      <c r="B15" s="749"/>
      <c r="C15" s="761">
        <v>1</v>
      </c>
      <c r="D15" s="492" t="s">
        <v>7</v>
      </c>
      <c r="E15" s="742" t="str">
        <f>IF(VLOOKUP(CONCATENATE($C$2,"-",$D15),Languages!$A:$D,1,TRUE)=CONCATENATE($C$2,"-",$D15),VLOOKUP(CONCATENATE($C$2,"-",$D15),Languages!$A:$D,Kybermittari!$C$7,TRUE),NA())</f>
        <v>Kyberturvallisuuteen liittyvät vastuut on tunnistettu toiminnan osa-alueella - vaikka ei välttämättä systemaattisesti ja kaiken kattavasti.</v>
      </c>
      <c r="F15" s="742"/>
      <c r="G15" s="742"/>
      <c r="H15" s="493">
        <f t="shared" ref="H15" si="0">IFERROR(INT(LEFT($I15,1)),0)</f>
        <v>0</v>
      </c>
      <c r="I15" s="54"/>
      <c r="J15" s="526"/>
      <c r="K15" s="494"/>
      <c r="L15" s="469"/>
      <c r="M15" s="545"/>
      <c r="N15" s="469"/>
    </row>
    <row r="16" spans="1:16" s="495" customFormat="1" ht="35" customHeight="1" x14ac:dyDescent="0.3">
      <c r="A16" s="469"/>
      <c r="B16" s="749"/>
      <c r="C16" s="761"/>
      <c r="D16" s="492" t="s">
        <v>9</v>
      </c>
      <c r="E16" s="742" t="str">
        <f>IF(VLOOKUP(CONCATENATE($C$2,"-",$D16),Languages!$A:$D,1,TRUE)=CONCATENATE($C$2,"-",$D16),VLOOKUP(CONCATENATE($C$2,"-",$D16),Languages!$A:$D,Kybermittari!$C$7,TRUE),NA())</f>
        <v>Kyberturvallisuuteen liittyvät vastuut on jaettu nimetyille henkilöille - vaikka ei välttämättä systemaattisesti ja kaiken kattavasti.</v>
      </c>
      <c r="F16" s="742"/>
      <c r="G16" s="742"/>
      <c r="H16" s="493">
        <f>IFERROR(INT(LEFT($I16,1)),0)</f>
        <v>0</v>
      </c>
      <c r="I16" s="54"/>
      <c r="J16" s="526"/>
      <c r="K16" s="494"/>
      <c r="L16" s="469"/>
      <c r="M16" s="545"/>
      <c r="N16" s="469"/>
    </row>
    <row r="17" spans="1:16" s="495" customFormat="1" ht="10" customHeight="1" x14ac:dyDescent="0.3">
      <c r="A17" s="469"/>
      <c r="B17" s="613"/>
      <c r="C17" s="498"/>
      <c r="D17" s="499"/>
      <c r="E17" s="501"/>
      <c r="F17" s="501"/>
      <c r="G17" s="501"/>
      <c r="H17" s="499"/>
      <c r="I17" s="502"/>
      <c r="J17" s="502"/>
      <c r="K17" s="494"/>
      <c r="L17" s="469"/>
      <c r="M17" s="545"/>
      <c r="N17" s="469"/>
    </row>
    <row r="18" spans="1:16" s="495" customFormat="1" ht="59.5" customHeight="1" x14ac:dyDescent="0.3">
      <c r="A18" s="469"/>
      <c r="B18" s="749"/>
      <c r="C18" s="761">
        <v>2</v>
      </c>
      <c r="D18" s="492" t="s">
        <v>10</v>
      </c>
      <c r="E18" s="742" t="str">
        <f>IF(VLOOKUP(CONCATENATE($C$2,"-",$D18),Languages!$A:$D,1,TRUE)=CONCATENATE($C$2,"-",$D18),VLOOKUP(CONCATENATE($C$2,"-",$D18),Languages!$A:$D,Kybermittari!$C$7,TRUE),NA())</f>
        <v>Kyberturvallisuuteen liittyvät vastuut on jaettu nimetyille rooleille, mkl. ulkoisille palveluntarjoajille (esim. internetpalveluntarjoajat, kyberturvallisuuspalvelujen, pilvipalvelujen tai IT-/OT-palvelujen tarjoajat).</v>
      </c>
      <c r="F18" s="742"/>
      <c r="G18" s="742"/>
      <c r="H18" s="493">
        <f>IFERROR(INT(LEFT($I18,1)),0)</f>
        <v>0</v>
      </c>
      <c r="I18" s="54"/>
      <c r="J18" s="526"/>
      <c r="K18" s="494"/>
      <c r="L18" s="549"/>
      <c r="M18" s="545"/>
      <c r="N18" s="549"/>
    </row>
    <row r="19" spans="1:16" s="495" customFormat="1" ht="35" customHeight="1" x14ac:dyDescent="0.3">
      <c r="A19" s="469"/>
      <c r="B19" s="749"/>
      <c r="C19" s="761"/>
      <c r="D19" s="492" t="s">
        <v>11</v>
      </c>
      <c r="E19" s="748" t="str">
        <f>IF(VLOOKUP(CONCATENATE($C$2,"-",$D19),Languages!$A:$D,1,TRUE)=CONCATENATE($C$2,"-",$D19),VLOOKUP(CONCATENATE($C$2,"-",$D19),Languages!$A:$D,Kybermittari!$C$7,TRUE),NA())</f>
        <v>Kyberturvallisuuteen liittyvät vastuut on dokumentoitu (esim. osana tehtävänkuvauksia tai suoriutumistavoitteita).</v>
      </c>
      <c r="F19" s="748"/>
      <c r="G19" s="748"/>
      <c r="H19" s="493">
        <f>IFERROR(INT(LEFT($I19,1)),0)</f>
        <v>0</v>
      </c>
      <c r="I19" s="54"/>
      <c r="J19" s="526"/>
      <c r="K19" s="494"/>
      <c r="L19" s="469"/>
      <c r="M19" s="545"/>
      <c r="N19" s="469"/>
    </row>
    <row r="20" spans="1:16" s="495" customFormat="1" ht="10" customHeight="1" x14ac:dyDescent="0.3">
      <c r="A20" s="469"/>
      <c r="B20" s="749"/>
      <c r="C20" s="498"/>
      <c r="D20" s="499"/>
      <c r="E20" s="615"/>
      <c r="F20" s="615"/>
      <c r="G20" s="615"/>
      <c r="H20" s="499"/>
      <c r="I20" s="502"/>
      <c r="J20" s="502"/>
      <c r="K20" s="494"/>
      <c r="L20" s="469"/>
      <c r="M20" s="545"/>
      <c r="N20" s="469"/>
    </row>
    <row r="21" spans="1:16" s="495" customFormat="1" ht="47" customHeight="1" x14ac:dyDescent="0.3">
      <c r="A21" s="469"/>
      <c r="B21" s="749"/>
      <c r="C21" s="761">
        <v>3</v>
      </c>
      <c r="D21" s="503" t="s">
        <v>12</v>
      </c>
      <c r="E21" s="748" t="str">
        <f>IF(VLOOKUP(CONCATENATE($C$2,"-",$D21),Languages!$A:$D,1,TRUE)=CONCATENATE($C$2,"-",$D21),VLOOKUP(CONCATENATE($C$2,"-",$D21),Languages!$A:$D,Kybermittari!$C$7,TRUE),NA())</f>
        <v>Kyberturvallisuuteen liittyvät vastuut ja työtehtävien vaatimukset katselmoidaan ja päivitetään organisaation määrittämin aikavälein (esim. tietyin aikavälein, henkilöstön vaihtuessa tai toimintatapojen muuttuessa).</v>
      </c>
      <c r="F21" s="748"/>
      <c r="G21" s="748"/>
      <c r="H21" s="493">
        <f>IFERROR(INT(LEFT($I21,1)),0)</f>
        <v>0</v>
      </c>
      <c r="I21" s="54"/>
      <c r="J21" s="527"/>
      <c r="K21" s="504"/>
      <c r="L21" s="469"/>
      <c r="M21" s="545"/>
      <c r="N21" s="469"/>
    </row>
    <row r="22" spans="1:16" s="495" customFormat="1" ht="47" customHeight="1" x14ac:dyDescent="0.3">
      <c r="A22" s="469"/>
      <c r="B22" s="749"/>
      <c r="C22" s="761"/>
      <c r="D22" s="503" t="s">
        <v>13</v>
      </c>
      <c r="E22" s="748" t="str">
        <f>IF(VLOOKUP(CONCATENATE($C$2,"-",$D22),Languages!$A:$D,1,TRUE)=CONCATENATE($C$2,"-",$D22),VLOOKUP(CONCATENATE($C$2,"-",$D22),Languages!$A:$D,Kybermittari!$C$7,TRUE),NA())</f>
        <v>Nimetyille henkilöille jaetut kyberturvallisuuteen liittyvät vastuut ylläpidetään vastuiden kattavuuden ja riittävyyden varmistamiseksi. Tässä huomioidaan myös henkilövaihdosten suunnittelu ("succession planning").</v>
      </c>
      <c r="F22" s="748"/>
      <c r="G22" s="748"/>
      <c r="H22" s="493">
        <f>IFERROR(INT(LEFT($I22,1)),0)</f>
        <v>0</v>
      </c>
      <c r="I22" s="54"/>
      <c r="J22" s="527"/>
      <c r="K22" s="504"/>
      <c r="L22" s="524"/>
      <c r="M22" s="545"/>
      <c r="N22" s="524"/>
    </row>
    <row r="23" spans="1:16" s="343" customFormat="1" ht="30" customHeight="1" x14ac:dyDescent="0.25">
      <c r="A23" s="332"/>
      <c r="B23" s="461"/>
      <c r="C23" s="336">
        <v>2</v>
      </c>
      <c r="D23" s="336" t="str">
        <f>IF(VLOOKUP(CONCATENATE($C$2,"-",C23),Languages!$A:$D,1,TRUE)=CONCATENATE($C$2,"-",C23),VLOOKUP(CONCATENATE($C$2,"-",C23),Languages!$A:$D,Kybermittari!$C$7,TRUE),NA())</f>
        <v>Kyberhenkilöstön kehittäminen</v>
      </c>
      <c r="E23" s="336"/>
      <c r="F23" s="506"/>
      <c r="G23" s="506"/>
      <c r="H23" s="506"/>
      <c r="I23" s="506" t="s">
        <v>19</v>
      </c>
      <c r="J23" s="507"/>
      <c r="K23" s="339"/>
      <c r="L23" s="347"/>
      <c r="M23" s="533"/>
      <c r="N23" s="347"/>
      <c r="O23" s="341"/>
      <c r="P23" s="341"/>
    </row>
    <row r="24" spans="1:16" s="475" customFormat="1" ht="75" customHeight="1" x14ac:dyDescent="0.3">
      <c r="A24" s="469"/>
      <c r="B24" s="470"/>
      <c r="C24" s="745" t="str">
        <f>IF(VLOOKUP(CONCATENATE($C$2,"-",$C23,"-0"),Languages!$A:$D,1,TRUE)=CONCATENATE($C$2,"-",$C23,"-0"),VLOOKUP(CONCATENATE($C$2,"-",$C23,"-0"),Languages!$A:$D,Kybermittari!$C$7,TRUE),NA())</f>
        <v>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v>
      </c>
      <c r="D24" s="745"/>
      <c r="E24" s="745"/>
      <c r="F24" s="745"/>
      <c r="G24" s="745"/>
      <c r="H24" s="745"/>
      <c r="I24" s="745"/>
      <c r="J24" s="745"/>
      <c r="K24" s="471"/>
      <c r="L24" s="524"/>
      <c r="M24" s="545"/>
      <c r="N24" s="524"/>
      <c r="O24" s="473"/>
      <c r="P24" s="473"/>
    </row>
    <row r="25" spans="1:16" s="547" customFormat="1" ht="20" customHeight="1" x14ac:dyDescent="0.3">
      <c r="A25" s="48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524"/>
      <c r="M25" s="545"/>
      <c r="N25" s="524"/>
      <c r="O25" s="546"/>
      <c r="P25" s="546"/>
    </row>
    <row r="26" spans="1:16" s="547" customFormat="1" ht="10" customHeight="1" x14ac:dyDescent="0.3">
      <c r="A26" s="483"/>
      <c r="B26" s="476"/>
      <c r="C26" s="487"/>
      <c r="D26" s="487"/>
      <c r="E26" s="488"/>
      <c r="F26" s="489"/>
      <c r="G26" s="490"/>
      <c r="H26" s="491"/>
      <c r="I26" s="488"/>
      <c r="J26" s="490"/>
      <c r="K26" s="482"/>
      <c r="L26" s="524"/>
      <c r="M26" s="545"/>
      <c r="N26" s="524"/>
      <c r="O26" s="546"/>
      <c r="P26" s="546"/>
    </row>
    <row r="27" spans="1:16" s="510" customFormat="1" ht="47" customHeight="1" x14ac:dyDescent="0.3">
      <c r="A27" s="524"/>
      <c r="B27" s="741"/>
      <c r="C27" s="757">
        <v>1</v>
      </c>
      <c r="D27" s="508" t="s">
        <v>20</v>
      </c>
      <c r="E27" s="742" t="str">
        <f>IF(VLOOKUP(CONCATENATE($C$2,"-",$D27),Languages!$A:$D,1,TRUE)=CONCATENATE($C$2,"-",$D27),VLOOKUP(CONCATENATE($C$2,"-",$D27),Languages!$A:$D,Kybermittari!$C$7,TRUE),NA())</f>
        <v>Kyberturvallisuuskoulutusta on saatavilla sellaisille työntekijöille, joille on nimetty kyberturvallisuuteen liittyviä vastuita - vaikka ei välttämättä systemaattisesti ja kaiken kattavasti.</v>
      </c>
      <c r="F27" s="742"/>
      <c r="G27" s="742"/>
      <c r="H27" s="493">
        <f>IFERROR(INT(LEFT($I27,1)),0)</f>
        <v>0</v>
      </c>
      <c r="I27" s="54"/>
      <c r="J27" s="526"/>
      <c r="K27" s="509"/>
      <c r="L27" s="524"/>
      <c r="M27" s="545"/>
      <c r="N27" s="524"/>
      <c r="O27" s="495"/>
      <c r="P27" s="495"/>
    </row>
    <row r="28" spans="1:16" s="510" customFormat="1" ht="60" customHeight="1" x14ac:dyDescent="0.3">
      <c r="A28" s="524"/>
      <c r="B28" s="741"/>
      <c r="C28" s="759"/>
      <c r="D28" s="508" t="s">
        <v>21</v>
      </c>
      <c r="E28" s="742" t="str">
        <f>IF(VLOOKUP(CONCATENATE($C$2,"-",$D28),Languages!$A:$D,1,TRUE)=CONCATENATE($C$2,"-",$D28),VLOOKUP(CONCATENATE($C$2,"-",$D28),Languages!$A:$D,Kybermittari!$C$7,TRUE),NA())</f>
        <v>Kybertyöntekijöiden osaamiseen ja taitoihin liittyviä vaatimuksia ja mahdollisia puutteita tunnistetaan sekä nykyisiä että tulevia käyttötarpeita varten. (Kybertyöntekijöitä ovat työntekijät, joille on nimetty kyberturvallisuuteen liittyviä vastuita).</v>
      </c>
      <c r="F28" s="742"/>
      <c r="G28" s="742"/>
      <c r="H28" s="493">
        <f>IFERROR(INT(LEFT($I28,1)),0)</f>
        <v>0</v>
      </c>
      <c r="I28" s="54"/>
      <c r="J28" s="527"/>
      <c r="K28" s="509"/>
      <c r="L28" s="524"/>
      <c r="M28" s="545"/>
      <c r="N28" s="524"/>
      <c r="O28" s="495"/>
      <c r="P28" s="495"/>
    </row>
    <row r="29" spans="1:16" s="510" customFormat="1" ht="10" customHeight="1" x14ac:dyDescent="0.3">
      <c r="A29" s="524"/>
      <c r="B29" s="511"/>
      <c r="C29" s="565"/>
      <c r="D29" s="513"/>
      <c r="E29" s="501"/>
      <c r="F29" s="501"/>
      <c r="G29" s="501"/>
      <c r="H29" s="499"/>
      <c r="I29" s="502"/>
      <c r="J29" s="514"/>
      <c r="K29" s="509"/>
      <c r="L29" s="524"/>
      <c r="M29" s="545"/>
      <c r="N29" s="524"/>
      <c r="O29" s="495"/>
      <c r="P29" s="495"/>
    </row>
    <row r="30" spans="1:16" s="510" customFormat="1" ht="35" customHeight="1" x14ac:dyDescent="0.3">
      <c r="A30" s="524"/>
      <c r="B30" s="511"/>
      <c r="C30" s="757">
        <v>2</v>
      </c>
      <c r="D30" s="508" t="s">
        <v>22</v>
      </c>
      <c r="E30" s="742" t="str">
        <f>IF(VLOOKUP(CONCATENATE($C$2,"-",$D30),Languages!$A:$D,1,TRUE)=CONCATENATE($C$2,"-",$D30),VLOOKUP(CONCATENATE($C$2,"-",$D30),Languages!$A:$D,Kybermittari!$C$7,TRUE),NA())</f>
        <v>Organisaation kybertyöntekijöiden koulutus-, rekrytointi ja sitouttamistoimenpiteiden suunnittelussa huomioidaan tunnistetut puutteet.</v>
      </c>
      <c r="F30" s="742"/>
      <c r="G30" s="742"/>
      <c r="H30" s="493">
        <f>IFERROR(INT(LEFT($I30,1)),0)</f>
        <v>0</v>
      </c>
      <c r="I30" s="54"/>
      <c r="J30" s="527"/>
      <c r="K30" s="509"/>
      <c r="L30" s="524"/>
      <c r="M30" s="545"/>
      <c r="N30" s="524"/>
      <c r="O30" s="495"/>
      <c r="P30" s="495"/>
    </row>
    <row r="31" spans="1:16" s="510" customFormat="1" ht="47.5" customHeight="1" x14ac:dyDescent="0.3">
      <c r="A31" s="524"/>
      <c r="B31" s="511"/>
      <c r="C31" s="759"/>
      <c r="D31" s="508" t="s">
        <v>23</v>
      </c>
      <c r="E31" s="742" t="str">
        <f>IF(VLOOKUP(CONCATENATE($C$2,"-",$D31),Languages!$A:$D,1,TRUE)=CONCATENATE($C$2,"-",$D31),VLOOKUP(CONCATENATE($C$2,"-",$D31),Languages!$A:$D,Kybermittari!$C$7,TRUE),NA())</f>
        <v>Kyberturvallisuuskoulutus on edellytyksenä pääsyoikeuksien myöntämiselle toiminnan osa-alueen toimintavarmuuden kannalta kriittisiin suojattaviin kohteisiin (esim. uusien tai siirtyvien työntekijöiden perehdyttämiskoulutus).</v>
      </c>
      <c r="F31" s="742"/>
      <c r="G31" s="742"/>
      <c r="H31" s="493">
        <f>IFERROR(INT(LEFT($I31,1)),0)</f>
        <v>0</v>
      </c>
      <c r="I31" s="54"/>
      <c r="J31" s="527"/>
      <c r="K31" s="509"/>
      <c r="L31" s="618"/>
      <c r="M31" s="545"/>
      <c r="N31" s="618"/>
      <c r="O31" s="495"/>
      <c r="P31" s="495"/>
    </row>
    <row r="32" spans="1:16" s="510" customFormat="1" ht="10" customHeight="1" x14ac:dyDescent="0.3">
      <c r="A32" s="524"/>
      <c r="B32" s="511"/>
      <c r="C32" s="565"/>
      <c r="D32" s="513"/>
      <c r="E32" s="501"/>
      <c r="F32" s="501"/>
      <c r="G32" s="501"/>
      <c r="H32" s="499"/>
      <c r="I32" s="502"/>
      <c r="J32" s="514"/>
      <c r="K32" s="509"/>
      <c r="L32" s="618"/>
      <c r="M32" s="545"/>
      <c r="N32" s="618"/>
      <c r="O32" s="495"/>
      <c r="P32" s="495"/>
    </row>
    <row r="33" spans="1:16" s="510" customFormat="1" ht="35" customHeight="1" x14ac:dyDescent="0.3">
      <c r="A33" s="524"/>
      <c r="B33" s="511"/>
      <c r="C33" s="757">
        <v>3</v>
      </c>
      <c r="D33" s="508" t="s">
        <v>24</v>
      </c>
      <c r="E33" s="742" t="str">
        <f>IF(VLOOKUP(CONCATENATE($C$2,"-",$D33),Languages!$A:$D,1,TRUE)=CONCATENATE($C$2,"-",$D33),VLOOKUP(CONCATENATE($C$2,"-",$D33),Languages!$A:$D,Kybermittari!$C$7,TRUE),NA())</f>
        <v>Koulutusohjelmien tehokkuutta arvioidaan organisaation määrittelemin aikavälein ja koulutusta kehitetään tarpeen vaatiessa.</v>
      </c>
      <c r="F33" s="742"/>
      <c r="G33" s="742"/>
      <c r="H33" s="493">
        <f>IFERROR(INT(LEFT($I33,1)),0)</f>
        <v>0</v>
      </c>
      <c r="I33" s="54"/>
      <c r="J33" s="527"/>
      <c r="K33" s="509"/>
      <c r="L33" s="524"/>
      <c r="M33" s="545"/>
      <c r="N33" s="524"/>
      <c r="O33" s="495"/>
      <c r="P33" s="495"/>
    </row>
    <row r="34" spans="1:16" s="510" customFormat="1" ht="46" customHeight="1" x14ac:dyDescent="0.3">
      <c r="A34" s="524"/>
      <c r="B34" s="511"/>
      <c r="C34" s="759"/>
      <c r="D34" s="508" t="s">
        <v>112</v>
      </c>
      <c r="E34" s="742" t="str">
        <f>IF(VLOOKUP(CONCATENATE($C$2,"-",$D34),Languages!$A:$D,1,TRUE)=CONCATENATE($C$2,"-",$D34),VLOOKUP(CONCATENATE($C$2,"-",$D34),Languages!$A:$D,Kybermittari!$C$7,TRUE),NA())</f>
        <v>Koulutusohjelmiin sisältyy mahdollisuus jatko- ja lisäkoulutukseen niille työntekijöille, joilla on merkittäviä kyberturvallisuuteen liittyviä vastuita.</v>
      </c>
      <c r="F34" s="742"/>
      <c r="G34" s="742"/>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Henkilöstön hallintatoimet</v>
      </c>
      <c r="E35" s="336"/>
      <c r="F35" s="506"/>
      <c r="G35" s="506"/>
      <c r="H35" s="506"/>
      <c r="I35" s="506" t="s">
        <v>19</v>
      </c>
      <c r="J35" s="507"/>
      <c r="K35" s="339"/>
      <c r="L35" s="332"/>
      <c r="M35" s="533"/>
      <c r="N35" s="636"/>
      <c r="O35" s="341"/>
      <c r="P35" s="341"/>
    </row>
    <row r="36" spans="1:16" s="510" customFormat="1" ht="62" customHeight="1" x14ac:dyDescent="0.3">
      <c r="A36" s="524"/>
      <c r="B36" s="511"/>
      <c r="C36" s="745" t="str">
        <f>IF(VLOOKUP(CONCATENATE($C$2,"-",$C35,"-0"),Languages!$A:$D,1,TRUE)=CONCATENATE($C$2,"-",$C35,"-0"),VLOOKUP(CONCATENATE($C$2,"-",$C35,"-0"),Languages!$A:$D,Kybermittari!$C$7,TRUE),NA())</f>
        <v>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v>
      </c>
      <c r="D36" s="745"/>
      <c r="E36" s="745"/>
      <c r="F36" s="745"/>
      <c r="G36" s="745"/>
      <c r="H36" s="745"/>
      <c r="I36" s="745"/>
      <c r="J36" s="745"/>
      <c r="K36" s="509"/>
      <c r="L36" s="483"/>
      <c r="M36" s="545"/>
      <c r="N36" s="523"/>
      <c r="O36" s="495"/>
      <c r="P36" s="495"/>
    </row>
    <row r="37" spans="1:16" s="547" customFormat="1" ht="20" customHeight="1" x14ac:dyDescent="0.3">
      <c r="A37" s="48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546"/>
      <c r="P37" s="546"/>
    </row>
    <row r="38" spans="1:16" s="547" customFormat="1" ht="10" customHeight="1" x14ac:dyDescent="0.3">
      <c r="A38" s="483"/>
      <c r="B38" s="476"/>
      <c r="C38" s="487"/>
      <c r="D38" s="487"/>
      <c r="E38" s="488"/>
      <c r="F38" s="489"/>
      <c r="G38" s="490"/>
      <c r="H38" s="491"/>
      <c r="I38" s="488"/>
      <c r="J38" s="490"/>
      <c r="K38" s="482"/>
      <c r="L38" s="483"/>
      <c r="M38" s="545"/>
      <c r="N38" s="523"/>
      <c r="O38" s="546"/>
      <c r="P38" s="546"/>
    </row>
    <row r="39" spans="1:16" s="510" customFormat="1" ht="75" customHeight="1" x14ac:dyDescent="0.3">
      <c r="A39" s="524"/>
      <c r="B39" s="511"/>
      <c r="C39" s="757">
        <v>1</v>
      </c>
      <c r="D39" s="508" t="s">
        <v>25</v>
      </c>
      <c r="E39" s="742" t="str">
        <f>IF(VLOOKUP(CONCATENATE($C$2,"-",$D39),Languages!$A:$D,1,TRUE)=CONCATENATE($C$2,"-",$D39),VLOOKUP(CONCATENATE($C$2,"-",$D39),Languages!$A:$D,Kybermittari!$C$7,TRUE),NA())</f>
        <v>Kun organisaatio palkkaa uusia työntekijöitä tehtäviin, joissa on pääsy toiminnan osa-alueen toimintavarmuuden kannalta kriittisiin suojattaviin kohteisiin, näille työntekijöille teetetään asianmukaiset taustatarkistukset (esim. turvallisuusselvitys, huumetesti) - vaikka ei välttämättä systemaattisesti ja kaiken kattavasti.</v>
      </c>
      <c r="F39" s="742"/>
      <c r="G39" s="742"/>
      <c r="H39" s="493">
        <f>IFERROR(INT(LEFT($I39,1)),0)</f>
        <v>0</v>
      </c>
      <c r="I39" s="54"/>
      <c r="J39" s="527"/>
      <c r="K39" s="509"/>
      <c r="L39" s="524"/>
      <c r="M39" s="545"/>
      <c r="N39" s="524"/>
      <c r="O39" s="495"/>
      <c r="P39" s="495"/>
    </row>
    <row r="40" spans="1:16" s="510" customFormat="1" ht="35" customHeight="1" x14ac:dyDescent="0.3">
      <c r="A40" s="524"/>
      <c r="B40" s="511"/>
      <c r="C40" s="759"/>
      <c r="D40" s="508" t="s">
        <v>26</v>
      </c>
      <c r="E40" s="742" t="str">
        <f>IF(VLOOKUP(CONCATENATE($C$2,"-",$D40),Languages!$A:$D,1,TRUE)=CONCATENATE($C$2,"-",$D40),VLOOKUP(CONCATENATE($C$2,"-",$D40),Languages!$A:$D,Kybermittari!$C$7,TRUE),NA())</f>
        <v>Työsuhteen päättymiseen liittyvissä menettelyissä on huomioitu kyberturvallisuus - vaikka ei välttämättä systemaattisesti ja kaiken kattavasti.</v>
      </c>
      <c r="F40" s="742"/>
      <c r="G40" s="742"/>
      <c r="H40" s="493">
        <f>IFERROR(INT(LEFT($I40,1)),0)</f>
        <v>0</v>
      </c>
      <c r="I40" s="54"/>
      <c r="J40" s="527"/>
      <c r="K40" s="509"/>
      <c r="L40" s="524"/>
      <c r="M40" s="545"/>
      <c r="N40" s="524"/>
      <c r="O40" s="495"/>
      <c r="P40" s="495"/>
    </row>
    <row r="41" spans="1:16" s="510" customFormat="1" ht="10" customHeight="1" x14ac:dyDescent="0.3">
      <c r="A41" s="524"/>
      <c r="B41" s="511"/>
      <c r="C41" s="565"/>
      <c r="D41" s="513"/>
      <c r="E41" s="501"/>
      <c r="F41" s="501"/>
      <c r="G41" s="501"/>
      <c r="H41" s="499"/>
      <c r="I41" s="502"/>
      <c r="J41" s="514"/>
      <c r="K41" s="509"/>
      <c r="L41" s="524"/>
      <c r="M41" s="545"/>
      <c r="N41" s="524"/>
      <c r="O41" s="495"/>
      <c r="P41" s="495"/>
    </row>
    <row r="42" spans="1:16" s="510" customFormat="1" ht="47" customHeight="1" x14ac:dyDescent="0.3">
      <c r="A42" s="524"/>
      <c r="B42" s="511"/>
      <c r="C42" s="760">
        <v>2</v>
      </c>
      <c r="D42" s="508" t="s">
        <v>27</v>
      </c>
      <c r="E42" s="742" t="str">
        <f>IF(VLOOKUP(CONCATENATE($C$2,"-",$D42),Languages!$A:$D,1,TRUE)=CONCATENATE($C$2,"-",$D42),VLOOKUP(CONCATENATE($C$2,"-",$D42),Languages!$A:$D,Kybermittari!$C$7,TRUE),NA())</f>
        <v>Niille työntekijöille, joilla on pääsy toiminnan osa-alueen toimintavarmuuden kannalta kriittisiin suojattaviin kohteisiin, teetetään asianmukainen taustatarkistus organisaation määrittelemin aikavälein.</v>
      </c>
      <c r="F42" s="742"/>
      <c r="G42" s="742"/>
      <c r="H42" s="493">
        <f>IFERROR(INT(LEFT($I42,1)),0)</f>
        <v>0</v>
      </c>
      <c r="I42" s="54"/>
      <c r="J42" s="527"/>
      <c r="K42" s="509"/>
      <c r="L42" s="524"/>
      <c r="M42" s="545"/>
      <c r="N42" s="524"/>
      <c r="O42" s="495"/>
      <c r="P42" s="495"/>
    </row>
    <row r="43" spans="1:16" s="510" customFormat="1" ht="35" customHeight="1" x14ac:dyDescent="0.3">
      <c r="A43" s="524"/>
      <c r="B43" s="511"/>
      <c r="C43" s="760"/>
      <c r="D43" s="508" t="s">
        <v>28</v>
      </c>
      <c r="E43" s="742" t="str">
        <f>IF(VLOOKUP(CONCATENATE($C$2,"-",$D43),Languages!$A:$D,1,TRUE)=CONCATENATE($C$2,"-",$D43),VLOOKUP(CONCATENATE($C$2,"-",$D43),Languages!$A:$D,Kybermittari!$C$7,TRUE),NA())</f>
        <v>Työntekijöiden sisäisiin siirtoihin liittyvissä menettelyissä on huomioitu kyberturvallisuus.</v>
      </c>
      <c r="F43" s="742"/>
      <c r="G43" s="742"/>
      <c r="H43" s="493">
        <f>IFERROR(INT(LEFT($I43,1)),0)</f>
        <v>0</v>
      </c>
      <c r="I43" s="54"/>
      <c r="J43" s="527"/>
      <c r="K43" s="509"/>
      <c r="L43" s="524"/>
      <c r="M43" s="545"/>
      <c r="N43" s="524"/>
      <c r="O43" s="495"/>
      <c r="P43" s="495"/>
    </row>
    <row r="44" spans="1:16" s="510" customFormat="1" ht="10" customHeight="1" x14ac:dyDescent="0.3">
      <c r="A44" s="524"/>
      <c r="B44" s="511"/>
      <c r="C44" s="565"/>
      <c r="D44" s="513"/>
      <c r="E44" s="501"/>
      <c r="F44" s="501"/>
      <c r="G44" s="501"/>
      <c r="H44" s="499"/>
      <c r="I44" s="502"/>
      <c r="J44" s="514"/>
      <c r="K44" s="509"/>
      <c r="L44" s="524"/>
      <c r="M44" s="545"/>
      <c r="N44" s="524"/>
      <c r="O44" s="495"/>
      <c r="P44" s="495"/>
    </row>
    <row r="45" spans="1:16" s="510" customFormat="1" ht="47" customHeight="1" x14ac:dyDescent="0.3">
      <c r="A45" s="524"/>
      <c r="B45" s="511"/>
      <c r="C45" s="760">
        <v>3</v>
      </c>
      <c r="D45" s="508" t="s">
        <v>29</v>
      </c>
      <c r="E45" s="742" t="str">
        <f>IF(VLOOKUP(CONCATENATE($C$2,"-",$D45),Languages!$A:$D,1,TRUE)=CONCATENATE($C$2,"-",$D45),VLOOKUP(CONCATENATE($C$2,"-",$D45),Languages!$A:$D,Kybermittari!$C$7,TRUE),NA())</f>
        <v>Jokaista työtehtävää varten tehdään asianmukaiset taustatarkistukset, jotka ovat suhteessa tehtäväkohtaiseen riskiin. Tämä kattaa sekä organisaation työntekijät, toimittajat että alihankkijat.</v>
      </c>
      <c r="F45" s="742"/>
      <c r="G45" s="742"/>
      <c r="H45" s="493">
        <f>IFERROR(INT(LEFT($I45,1)),0)</f>
        <v>0</v>
      </c>
      <c r="I45" s="54"/>
      <c r="J45" s="527"/>
      <c r="K45" s="509"/>
      <c r="L45" s="524"/>
      <c r="M45" s="545"/>
      <c r="N45" s="524"/>
      <c r="O45" s="495"/>
      <c r="P45" s="495"/>
    </row>
    <row r="46" spans="1:16" s="510" customFormat="1" ht="46.5" customHeight="1" x14ac:dyDescent="0.3">
      <c r="A46" s="524"/>
      <c r="B46" s="511"/>
      <c r="C46" s="760"/>
      <c r="D46" s="508" t="s">
        <v>30</v>
      </c>
      <c r="E46" s="742" t="str">
        <f>IF(VLOOKUP(CONCATENATE($C$2,"-",$D46),Languages!$A:$D,1,TRUE)=CONCATENATE($C$2,"-",$D46),VLOOKUP(CONCATENATE($C$2,"-",$D46),Languages!$A:$D,Kybermittari!$C$7,TRUE),NA())</f>
        <v>Organisaatiolla on virallinen menettelytapa tilanteisiin, joissa työntekijät lyövät laimin turvapolitiikan tai -säännöstön asettamia vaatimuksia.</v>
      </c>
      <c r="F46" s="742"/>
      <c r="G46" s="742"/>
      <c r="H46" s="493">
        <f>IFERROR(INT(LEFT($I46,1)),0)</f>
        <v>0</v>
      </c>
      <c r="I46" s="54"/>
      <c r="J46" s="527"/>
      <c r="K46" s="509"/>
      <c r="L46" s="524"/>
      <c r="M46" s="545"/>
      <c r="N46" s="524"/>
      <c r="O46" s="495"/>
      <c r="P46" s="495"/>
    </row>
    <row r="47" spans="1:16" s="343" customFormat="1" ht="30" customHeight="1" x14ac:dyDescent="0.25">
      <c r="A47" s="332"/>
      <c r="B47" s="461"/>
      <c r="C47" s="336">
        <v>4</v>
      </c>
      <c r="D47" s="336" t="str">
        <f>IF(VLOOKUP(CONCATENATE($C$2,"-",C47),Languages!$A:$D,1,TRUE)=CONCATENATE($C$2,"-",C47),VLOOKUP(CONCATENATE($C$2,"-",C47),Languages!$A:$D,Kybermittari!$C$7,TRUE),NA())</f>
        <v>Kybertietoisuuden lisääminen</v>
      </c>
      <c r="E47" s="336"/>
      <c r="F47" s="506"/>
      <c r="G47" s="506"/>
      <c r="H47" s="506"/>
      <c r="I47" s="506" t="s">
        <v>19</v>
      </c>
      <c r="J47" s="507"/>
      <c r="K47" s="339"/>
      <c r="L47" s="340"/>
      <c r="M47" s="533"/>
      <c r="N47" s="340"/>
      <c r="O47" s="341"/>
      <c r="P47" s="341"/>
    </row>
    <row r="48" spans="1:16" s="510" customFormat="1" ht="90" customHeight="1" x14ac:dyDescent="0.3">
      <c r="A48" s="524"/>
      <c r="B48" s="511"/>
      <c r="C48" s="745" t="str">
        <f>IF(VLOOKUP(CONCATENATE($C$2,"-",$C47,"-0"),Languages!$A:$D,1,TRUE)=CONCATENATE($C$2,"-",$C47,"-0"),VLOOKUP(CONCATENATE($C$2,"-",$C47,"-0"),Languages!$A:$D,Kybermittari!$C$7,TRUE),NA())</f>
        <v>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v>
      </c>
      <c r="D48" s="745"/>
      <c r="E48" s="745"/>
      <c r="F48" s="745"/>
      <c r="G48" s="745"/>
      <c r="H48" s="745"/>
      <c r="I48" s="745"/>
      <c r="J48" s="745"/>
      <c r="K48" s="509"/>
      <c r="L48" s="524"/>
      <c r="M48" s="545"/>
      <c r="N48" s="524"/>
      <c r="O48" s="495"/>
      <c r="P48" s="495"/>
    </row>
    <row r="49" spans="1:16" s="547" customFormat="1" ht="20" customHeight="1" x14ac:dyDescent="0.3">
      <c r="A49" s="483"/>
      <c r="B49" s="476"/>
      <c r="C49" s="477" t="str">
        <f>IF(VLOOKUP("GEN-LEVEL",Languages!$A:$D,1,TRUE)="GEN-LEVEL",VLOOKUP("GEN-LEVEL",Languages!$A:$D,Kybermittari!$C$7,TRUE),NA())</f>
        <v>Taso</v>
      </c>
      <c r="D49" s="477"/>
      <c r="E49" s="478" t="str">
        <f>IF(VLOOKUP("GEN-PRACTICE",Languages!$A:$D,1,TRUE)="GEN-PRACTICE",VLOOKUP("GEN-PRACTICE",Languages!$A:$D,Kybermittari!$C$7,TRUE),NA())</f>
        <v>Käytäntö</v>
      </c>
      <c r="F49" s="479"/>
      <c r="G49" s="480"/>
      <c r="H49" s="481"/>
      <c r="I49" s="478" t="str">
        <f>IF(VLOOKUP("GEN-ANSWER",Languages!$A:$D,1,TRUE)="GEN-ANSWER",VLOOKUP("GEN-ANSWER",Languages!$A:$D,Kybermittari!$C$7,TRUE),NA())</f>
        <v>Vastaus</v>
      </c>
      <c r="J49" s="480" t="str">
        <f>IF(VLOOKUP("GEN-COMMENT",Languages!$A:$D,1,TRUE)="GEN-COMMENT",VLOOKUP("GEN-COMMENT",Languages!$A:$D,Kybermittari!$C$7,TRUE),NA())</f>
        <v>Kommentti ja viittaukset</v>
      </c>
      <c r="K49" s="482"/>
      <c r="L49" s="483"/>
      <c r="M49" s="545"/>
      <c r="N49" s="523"/>
      <c r="O49" s="546"/>
      <c r="P49" s="546"/>
    </row>
    <row r="50" spans="1:16" s="547" customFormat="1" ht="10" customHeight="1" x14ac:dyDescent="0.3">
      <c r="A50" s="483"/>
      <c r="B50" s="476"/>
      <c r="C50" s="487"/>
      <c r="D50" s="487"/>
      <c r="E50" s="488"/>
      <c r="F50" s="489"/>
      <c r="G50" s="490"/>
      <c r="H50" s="491"/>
      <c r="I50" s="488"/>
      <c r="J50" s="490"/>
      <c r="K50" s="482"/>
      <c r="L50" s="483"/>
      <c r="M50" s="545"/>
      <c r="N50" s="523"/>
      <c r="O50" s="546"/>
      <c r="P50" s="546"/>
    </row>
    <row r="51" spans="1:16" s="510" customFormat="1" ht="35" customHeight="1" x14ac:dyDescent="0.3">
      <c r="A51" s="524"/>
      <c r="B51" s="511"/>
      <c r="C51" s="557">
        <v>1</v>
      </c>
      <c r="D51" s="508" t="s">
        <v>126</v>
      </c>
      <c r="E51" s="742" t="str">
        <f>IF(VLOOKUP(CONCATENATE($C$2,"-",$D51),Languages!$A:$D,1,TRUE)=CONCATENATE($C$2,"-",$D51),VLOOKUP(CONCATENATE($C$2,"-",$D51),Languages!$A:$D,Kybermittari!$C$7,TRUE),NA())</f>
        <v>Organisaatio pyrkii tietoisilla toimilla lisäämään (koko) henkilöstön kybertietoisuutta - vaikka ei välttämättä systemaattisesti ja kaiken kattavasti.</v>
      </c>
      <c r="F51" s="742"/>
      <c r="G51" s="742"/>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35" customHeight="1" x14ac:dyDescent="0.3">
      <c r="A53" s="524"/>
      <c r="B53" s="511"/>
      <c r="C53" s="760">
        <v>2</v>
      </c>
      <c r="D53" s="508" t="s">
        <v>129</v>
      </c>
      <c r="E53" s="742" t="str">
        <f>IF(VLOOKUP(CONCATENATE($C$2,"-",$D53),Languages!$A:$D,1,TRUE)=CONCATENATE($C$2,"-",$D53),VLOOKUP(CONCATENATE($C$2,"-",$D53),Languages!$A:$D,Kybermittari!$C$7,TRUE),NA())</f>
        <v>Organisaatio on asettanut tavoitteet henkilöstön kybertietoisuuden lisäämiseen tähtääville toimenpiteille ja näitä tavoitteita päivitetään.</v>
      </c>
      <c r="F53" s="742"/>
      <c r="G53" s="742"/>
      <c r="H53" s="493">
        <f>IFERROR(INT(LEFT($I53,1)),0)</f>
        <v>0</v>
      </c>
      <c r="I53" s="54"/>
      <c r="J53" s="527"/>
      <c r="K53" s="509"/>
      <c r="L53" s="483"/>
      <c r="M53" s="545"/>
      <c r="N53" s="523"/>
      <c r="O53" s="495"/>
      <c r="P53" s="495"/>
    </row>
    <row r="54" spans="1:16" s="510" customFormat="1" ht="35" customHeight="1" x14ac:dyDescent="0.3">
      <c r="A54" s="524"/>
      <c r="B54" s="511"/>
      <c r="C54" s="760"/>
      <c r="D54" s="508" t="s">
        <v>132</v>
      </c>
      <c r="E54" s="742" t="str">
        <f>IF(VLOOKUP(CONCATENATE($C$2,"-",$D54),Languages!$A:$D,1,TRUE)=CONCATENATE($C$2,"-",$D54),VLOOKUP(CONCATENATE($C$2,"-",$D54),Languages!$A:$D,Kybermittari!$C$7,TRUE),NA())</f>
        <v>Kybertietoisuuden lisäämiseen tähtäävien toimenpiteiden sisältöön vaikuttaa organisaation määrittämä uhkaprofiili [kts. THREAT-1d].</v>
      </c>
      <c r="F54" s="742"/>
      <c r="G54" s="742"/>
      <c r="H54" s="493">
        <f>IFERROR(INT(LEFT($I54,1)),0)</f>
        <v>0</v>
      </c>
      <c r="I54" s="54"/>
      <c r="J54" s="527"/>
      <c r="K54" s="509"/>
      <c r="L54" s="483"/>
      <c r="M54" s="545"/>
      <c r="N54" s="523"/>
      <c r="O54" s="495"/>
      <c r="P54" s="495"/>
    </row>
    <row r="55" spans="1:16" s="510" customFormat="1" ht="10" customHeight="1" x14ac:dyDescent="0.3">
      <c r="A55" s="524"/>
      <c r="B55" s="511"/>
      <c r="C55" s="565"/>
      <c r="D55" s="513"/>
      <c r="E55" s="501"/>
      <c r="F55" s="501"/>
      <c r="G55" s="501"/>
      <c r="H55" s="499"/>
      <c r="I55" s="502"/>
      <c r="J55" s="514"/>
      <c r="K55" s="509"/>
      <c r="L55" s="483"/>
      <c r="M55" s="545"/>
      <c r="N55" s="523"/>
      <c r="O55" s="495"/>
      <c r="P55" s="495"/>
    </row>
    <row r="56" spans="1:16" s="510" customFormat="1" ht="35" customHeight="1" x14ac:dyDescent="0.3">
      <c r="A56" s="524"/>
      <c r="B56" s="511"/>
      <c r="C56" s="760">
        <v>3</v>
      </c>
      <c r="D56" s="508" t="s">
        <v>135</v>
      </c>
      <c r="E56" s="742" t="str">
        <f>IF(VLOOKUP(CONCATENATE($C$2,"-",$D56),Languages!$A:$D,1,TRUE)=CONCATENATE($C$2,"-",$D56),VLOOKUP(CONCATENATE($C$2,"-",$D56),Languages!$A:$D,Kybermittari!$C$7,TRUE),NA())</f>
        <v>Kybertietoisuuden toimenpiteisiin vaikuttavat organisaation ennalta määrittämät prosessit ja toimintamallit [kts. SITUATION-3h].</v>
      </c>
      <c r="F56" s="742"/>
      <c r="G56" s="742"/>
      <c r="H56" s="493">
        <f>IFERROR(INT(LEFT($I56,1)),0)</f>
        <v>0</v>
      </c>
      <c r="I56" s="54"/>
      <c r="J56" s="527"/>
      <c r="K56" s="509"/>
      <c r="L56" s="524"/>
      <c r="M56" s="545"/>
      <c r="N56" s="524"/>
      <c r="O56" s="495"/>
      <c r="P56" s="495"/>
    </row>
    <row r="57" spans="1:16" s="510" customFormat="1" ht="46.5" customHeight="1" x14ac:dyDescent="0.3">
      <c r="A57" s="524"/>
      <c r="B57" s="511"/>
      <c r="C57" s="760"/>
      <c r="D57" s="508" t="s">
        <v>138</v>
      </c>
      <c r="E57" s="742" t="str">
        <f>IF(VLOOKUP(CONCATENATE($C$2,"-",$D57),Languages!$A:$D,1,TRUE)=CONCATENATE($C$2,"-",$D57),VLOOKUP(CONCATENATE($C$2,"-",$D57),Languages!$A:$D,Kybermittari!$C$7,TRUE),NA())</f>
        <v>Kybertietoisuuden lisäämiseen tähtäävien toimenpiteiden toimivuutta arvioidaan organisaation määrittelemin aikavälein ja niitä kehitetään tarpeen vaatiessa.</v>
      </c>
      <c r="F57" s="742"/>
      <c r="G57" s="742"/>
      <c r="H57" s="493">
        <f>IFERROR(INT(LEFT($I57,1)),0)</f>
        <v>0</v>
      </c>
      <c r="I57" s="54"/>
      <c r="J57" s="527"/>
      <c r="K57" s="509"/>
      <c r="L57" s="524"/>
      <c r="M57" s="545"/>
      <c r="N57" s="524"/>
      <c r="O57" s="495"/>
      <c r="P57" s="495"/>
    </row>
    <row r="58" spans="1:16" s="343" customFormat="1" ht="30" customHeight="1" x14ac:dyDescent="0.25">
      <c r="A58" s="332"/>
      <c r="B58" s="461"/>
      <c r="C58" s="336">
        <v>5</v>
      </c>
      <c r="D58" s="336" t="str">
        <f>IF(VLOOKUP(CONCATENATE($C$2,"-",C58),Languages!$A:$D,1,TRUE)=CONCATENATE($C$2,"-",C58),VLOOKUP(CONCATENATE($C$2,"-",C58),Languages!$A:$D,Kybermittari!$C$7,TRUE),NA())</f>
        <v>Yleisiä hallintatoimia</v>
      </c>
      <c r="E58" s="336"/>
      <c r="F58" s="506"/>
      <c r="G58" s="506"/>
      <c r="H58" s="506"/>
      <c r="I58" s="506" t="s">
        <v>19</v>
      </c>
      <c r="J58" s="507"/>
      <c r="K58" s="339"/>
      <c r="L58" s="347"/>
      <c r="M58" s="533"/>
      <c r="N58" s="347"/>
      <c r="O58" s="341"/>
      <c r="P58" s="341"/>
    </row>
    <row r="59" spans="1:16" s="475" customFormat="1" ht="48.5" customHeight="1" x14ac:dyDescent="0.3">
      <c r="A59" s="524"/>
      <c r="B59" s="525"/>
      <c r="C59" s="745" t="str">
        <f>IF(VLOOKUP(CONCATENATE($C$2,"-",$C58,"-0"),Languages!$A:$D,1,TRUE)=CONCATENATE($C$2,"-",$C58,"-0"),VLOOKUP(CONCATENATE($C$2,"-",$C58,"-0"),Languages!$A:$D,Kybermittari!$C$7,TRUE),NA())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9" s="745"/>
      <c r="E59" s="745"/>
      <c r="F59" s="745"/>
      <c r="G59" s="745"/>
      <c r="H59" s="745"/>
      <c r="I59" s="745"/>
      <c r="J59" s="745"/>
      <c r="K59" s="471"/>
      <c r="L59" s="524"/>
      <c r="M59" s="545"/>
      <c r="N59" s="524"/>
      <c r="O59" s="473"/>
      <c r="P59" s="473"/>
    </row>
    <row r="60" spans="1:16" s="547" customFormat="1" ht="20" customHeight="1" x14ac:dyDescent="0.3">
      <c r="A60" s="483"/>
      <c r="B60" s="476"/>
      <c r="C60" s="477" t="str">
        <f>IF(VLOOKUP("GEN-LEVEL",Languages!$A:$D,1,TRUE)="GEN-LEVEL",VLOOKUP("GEN-LEVEL",Languages!$A:$D,Kybermittari!$C$7,TRUE),NA())</f>
        <v>Taso</v>
      </c>
      <c r="D60" s="477"/>
      <c r="E60" s="478" t="str">
        <f>IF(VLOOKUP("GEN-PRACTICE",Languages!$A:$D,1,TRUE)="GEN-PRACTICE",VLOOKUP("GEN-PRACTICE",Languages!$A:$D,Kybermittari!$C$7,TRUE),NA())</f>
        <v>Käytäntö</v>
      </c>
      <c r="F60" s="479"/>
      <c r="G60" s="480"/>
      <c r="H60" s="481"/>
      <c r="I60" s="478" t="str">
        <f>IF(VLOOKUP("GEN-ANSWER",Languages!$A:$D,1,TRUE)="GEN-ANSWER",VLOOKUP("GEN-ANSWER",Languages!$A:$D,Kybermittari!$C$7,TRUE),NA())</f>
        <v>Vastaus</v>
      </c>
      <c r="J60" s="480" t="str">
        <f>IF(VLOOKUP("GEN-COMMENT",Languages!$A:$D,1,TRUE)="GEN-COMMENT",VLOOKUP("GEN-COMMENT",Languages!$A:$D,Kybermittari!$C$7,TRUE),NA())</f>
        <v>Kommentti ja viittaukset</v>
      </c>
      <c r="K60" s="482"/>
      <c r="L60" s="524"/>
      <c r="M60" s="545"/>
      <c r="N60" s="524"/>
      <c r="O60" s="546"/>
      <c r="P60" s="546"/>
    </row>
    <row r="61" spans="1:16" s="547" customFormat="1" ht="10" customHeight="1" x14ac:dyDescent="0.3">
      <c r="A61" s="483"/>
      <c r="B61" s="476"/>
      <c r="C61" s="487"/>
      <c r="D61" s="487"/>
      <c r="E61" s="488"/>
      <c r="F61" s="489"/>
      <c r="G61" s="490"/>
      <c r="H61" s="491"/>
      <c r="I61" s="488"/>
      <c r="J61" s="490"/>
      <c r="K61" s="482"/>
      <c r="L61" s="524"/>
      <c r="M61" s="545"/>
      <c r="N61" s="524"/>
      <c r="O61" s="546"/>
      <c r="P61" s="546"/>
    </row>
    <row r="62" spans="1:16" s="547" customFormat="1" ht="20" customHeight="1" x14ac:dyDescent="0.3">
      <c r="A62" s="483"/>
      <c r="B62" s="476"/>
      <c r="C62" s="557">
        <v>1</v>
      </c>
      <c r="D62" s="558"/>
      <c r="E62" s="559"/>
      <c r="F62" s="560"/>
      <c r="G62" s="561"/>
      <c r="H62" s="562"/>
      <c r="I62" s="559"/>
      <c r="J62" s="563"/>
      <c r="K62" s="482"/>
      <c r="L62" s="524"/>
      <c r="M62" s="545"/>
      <c r="N62" s="524"/>
      <c r="O62" s="546"/>
      <c r="P62" s="546"/>
    </row>
    <row r="63" spans="1:16" s="547" customFormat="1" ht="10" customHeight="1" x14ac:dyDescent="0.3">
      <c r="A63" s="483"/>
      <c r="B63" s="476"/>
      <c r="C63" s="487"/>
      <c r="D63" s="487"/>
      <c r="E63" s="488"/>
      <c r="F63" s="489"/>
      <c r="G63" s="490"/>
      <c r="H63" s="491"/>
      <c r="I63" s="488"/>
      <c r="J63" s="490"/>
      <c r="K63" s="482"/>
      <c r="L63" s="524"/>
      <c r="M63" s="545"/>
      <c r="N63" s="524"/>
      <c r="O63" s="546"/>
      <c r="P63" s="546"/>
    </row>
    <row r="64" spans="1:16" s="510" customFormat="1" ht="35" customHeight="1" x14ac:dyDescent="0.3">
      <c r="A64" s="524"/>
      <c r="B64" s="741"/>
      <c r="C64" s="757">
        <v>2</v>
      </c>
      <c r="D64" s="508" t="s">
        <v>143</v>
      </c>
      <c r="E64" s="742" t="str">
        <f>IF(VLOOKUP(CONCATENATE($C$2,"-",$D64),Languages!$A:$D,1,TRUE)=CONCATENATE($C$2,"-",$D64),VLOOKUP(CONCATENATE($C$2,"-",$D64),Languages!$A:$D,Kybermittari!$C$7,TRUE),NA())</f>
        <v>Henkilöstöhallinnan (WORKFORCE) osioon liittyen on määritetty dokumentoidut käytännöt, joita noudatetaan ja pidetään yllä.</v>
      </c>
      <c r="F64" s="742"/>
      <c r="G64" s="742"/>
      <c r="H64" s="493">
        <f>IFERROR(INT(LEFT($I64,1)),0)</f>
        <v>0</v>
      </c>
      <c r="I64" s="54"/>
      <c r="J64" s="527"/>
      <c r="K64" s="509"/>
      <c r="L64" s="524"/>
      <c r="M64" s="545"/>
      <c r="N64" s="524"/>
      <c r="O64" s="495"/>
      <c r="P64" s="495"/>
    </row>
    <row r="65" spans="1:16" s="510" customFormat="1" ht="35" customHeight="1" x14ac:dyDescent="0.3">
      <c r="A65" s="524"/>
      <c r="B65" s="741"/>
      <c r="C65" s="758"/>
      <c r="D65" s="508" t="s">
        <v>146</v>
      </c>
      <c r="E65" s="742" t="str">
        <f>IF(VLOOKUP(CONCATENATE($C$2,"-",$D65),Languages!$A:$D,1,TRUE)=CONCATENATE($C$2,"-",$D65),VLOOKUP(CONCATENATE($C$2,"-",$D65),Languages!$A:$D,Kybermittari!$C$7,TRUE),NA())</f>
        <v>Henkilöstöhallinnan (WORKFORCE) osion toimintaan on saatavilla riittävät resurssit (henkilöstö, rahoitus ja työkalut).</v>
      </c>
      <c r="F65" s="742"/>
      <c r="G65" s="742"/>
      <c r="H65" s="493">
        <f>IFERROR(INT(LEFT($I65,1)),0)</f>
        <v>0</v>
      </c>
      <c r="I65" s="54"/>
      <c r="J65" s="527"/>
      <c r="K65" s="509"/>
      <c r="L65" s="524"/>
      <c r="M65" s="545"/>
      <c r="N65" s="524"/>
      <c r="O65" s="495"/>
      <c r="P65" s="495"/>
    </row>
    <row r="66" spans="1:16" s="510" customFormat="1" ht="35" customHeight="1" x14ac:dyDescent="0.3">
      <c r="A66" s="524"/>
      <c r="B66" s="741"/>
      <c r="C66" s="758"/>
      <c r="D66" s="508" t="s">
        <v>149</v>
      </c>
      <c r="E66" s="742" t="str">
        <f>IF(VLOOKUP(CONCATENATE($C$2,"-",$D66),Languages!$A:$D,1,TRUE)=CONCATENATE($C$2,"-",$D66),VLOOKUP(CONCATENATE($C$2,"-",$D66),Languages!$A:$D,Kybermittari!$C$7,TRUE),NA())</f>
        <v>Henkilöstöhallinnan (WORKFORCE) osion toimintaa suorittavilla työntekijöillä on riittävät tiedot ja taidot tehtäviensä suorittamiseen.</v>
      </c>
      <c r="F66" s="742"/>
      <c r="G66" s="742"/>
      <c r="H66" s="493">
        <f>IFERROR(INT(LEFT($I66,1)),0)</f>
        <v>0</v>
      </c>
      <c r="I66" s="54"/>
      <c r="J66" s="527"/>
      <c r="K66" s="509"/>
      <c r="L66" s="524"/>
      <c r="M66" s="545"/>
      <c r="N66" s="524"/>
      <c r="O66" s="495"/>
      <c r="P66" s="495"/>
    </row>
    <row r="67" spans="1:16" s="510" customFormat="1" ht="35" customHeight="1" x14ac:dyDescent="0.3">
      <c r="A67" s="524"/>
      <c r="B67" s="741"/>
      <c r="C67" s="759"/>
      <c r="D67" s="508" t="s">
        <v>152</v>
      </c>
      <c r="E67" s="742" t="str">
        <f>IF(VLOOKUP(CONCATENATE($C$2,"-",$D67),Languages!$A:$D,1,TRUE)=CONCATENATE($C$2,"-",$D67),VLOOKUP(CONCATENATE($C$2,"-",$D67),Languages!$A:$D,Kybermittari!$C$7,TRUE),NA())</f>
        <v>Henkilöstöhallinnan (WORKFORCE) osion toiminnan suorittamiseen liittyvät vastuut ja valtuudet on osoitettu nimetyille työntekijöille.</v>
      </c>
      <c r="F67" s="742"/>
      <c r="G67" s="742"/>
      <c r="H67" s="493">
        <f>IFERROR(INT(LEFT($I67,1)),0)</f>
        <v>0</v>
      </c>
      <c r="I67" s="54"/>
      <c r="J67" s="527"/>
      <c r="K67" s="509"/>
      <c r="L67" s="524"/>
      <c r="M67" s="545"/>
      <c r="N67" s="524"/>
      <c r="O67" s="495"/>
      <c r="P67" s="495"/>
    </row>
    <row r="68" spans="1:16" s="510" customFormat="1" ht="10" customHeight="1" x14ac:dyDescent="0.3">
      <c r="A68" s="524"/>
      <c r="B68" s="511"/>
      <c r="C68" s="565"/>
      <c r="D68" s="513"/>
      <c r="E68" s="501"/>
      <c r="F68" s="501"/>
      <c r="G68" s="501"/>
      <c r="H68" s="499"/>
      <c r="I68" s="502"/>
      <c r="J68" s="514"/>
      <c r="K68" s="509"/>
      <c r="L68" s="524"/>
      <c r="M68" s="545"/>
      <c r="N68" s="524"/>
      <c r="O68" s="495"/>
      <c r="P68" s="495"/>
    </row>
    <row r="69" spans="1:16" s="510" customFormat="1" ht="59.5" customHeight="1" x14ac:dyDescent="0.25">
      <c r="A69" s="524"/>
      <c r="B69" s="741"/>
      <c r="C69" s="757">
        <v>3</v>
      </c>
      <c r="D69" s="508" t="s">
        <v>154</v>
      </c>
      <c r="E69" s="742" t="str">
        <f>IF(VLOOKUP(CONCATENATE($C$2,"-",$D69),Languages!$A:$D,1,TRUE)=CONCATENATE($C$2,"-",$D69),VLOOKUP(CONCATENATE($C$2,"-",$D69),Languages!$A:$D,Kybermittari!$C$7,TRUE),NA())</f>
        <v>Henkilöstöhallinnan (WORKFORCE) osion toiminta perustuu organisaation määrittämään ja ylläpitämään johtotason politiikkaan (tai vastaavaan ohjeistukseen), jossa asetetaan nimenomaisia vaatimuksia tämän osion toiminnalle.</v>
      </c>
      <c r="F69" s="742"/>
      <c r="G69" s="742"/>
      <c r="H69" s="493">
        <f>IFERROR(INT(LEFT($I69,1)),0)</f>
        <v>0</v>
      </c>
      <c r="I69" s="54"/>
      <c r="J69" s="527"/>
      <c r="K69" s="509"/>
      <c r="L69" s="524"/>
      <c r="M69" s="637"/>
      <c r="N69" s="524"/>
      <c r="O69" s="495"/>
      <c r="P69" s="495"/>
    </row>
    <row r="70" spans="1:16" s="510" customFormat="1" ht="35" customHeight="1" x14ac:dyDescent="0.25">
      <c r="A70" s="524"/>
      <c r="B70" s="741"/>
      <c r="C70" s="758"/>
      <c r="D70" s="508" t="s">
        <v>156</v>
      </c>
      <c r="E70" s="742" t="str">
        <f>IF(VLOOKUP(CONCATENATE($C$2,"-",$D70),Languages!$A:$D,1,TRUE)=CONCATENATE($C$2,"-",$D70),VLOOKUP(CONCATENATE($C$2,"-",$D70),Languages!$A:$D,Kybermittari!$C$7,TRUE),NA())</f>
        <v>Henkilöstöhallinnan (WORKFORCE) osion toiminnalle on määritetty suoriutumistavoitteet, joiden toteutumista seurataan [kts. PROGRAM-1b].</v>
      </c>
      <c r="F70" s="742"/>
      <c r="G70" s="742"/>
      <c r="H70" s="493">
        <f>IFERROR(INT(LEFT($I70,1)),0)</f>
        <v>0</v>
      </c>
      <c r="I70" s="54"/>
      <c r="J70" s="527"/>
      <c r="K70" s="509"/>
      <c r="L70" s="524"/>
      <c r="M70" s="637"/>
      <c r="N70" s="524"/>
      <c r="O70" s="495"/>
      <c r="P70" s="495"/>
    </row>
    <row r="71" spans="1:16" s="510" customFormat="1" ht="35" customHeight="1" x14ac:dyDescent="0.25">
      <c r="A71" s="524"/>
      <c r="B71" s="741"/>
      <c r="C71" s="759"/>
      <c r="D71" s="508" t="s">
        <v>159</v>
      </c>
      <c r="E71" s="742" t="str">
        <f>IF(VLOOKUP(CONCATENATE($C$2,"-",$D71),Languages!$A:$D,1,TRUE)=CONCATENATE($C$2,"-",$D71),VLOOKUP(CONCATENATE($C$2,"-",$D71),Languages!$A:$D,Kybermittari!$C$7,TRUE),NA())</f>
        <v>Henkilöstöhallinnan (WORKFORCE) osioon liittyvät käytännöt on standardoitu läpi koko organisaation ja niitä kehitetään aktiivisesti.</v>
      </c>
      <c r="F71" s="742"/>
      <c r="G71" s="742"/>
      <c r="H71" s="493">
        <f>IFERROR(INT(LEFT($I71,1)),0)</f>
        <v>0</v>
      </c>
      <c r="I71" s="54"/>
      <c r="J71" s="527"/>
      <c r="K71" s="509"/>
      <c r="L71" s="524"/>
      <c r="M71" s="637"/>
      <c r="N71" s="524"/>
      <c r="O71" s="495"/>
      <c r="P71" s="495"/>
    </row>
    <row r="72" spans="1:16" x14ac:dyDescent="0.25">
      <c r="A72" s="347"/>
      <c r="B72" s="619"/>
      <c r="C72" s="620"/>
      <c r="D72" s="621"/>
      <c r="E72" s="622"/>
      <c r="F72" s="622"/>
      <c r="G72" s="622"/>
      <c r="H72" s="623"/>
      <c r="I72" s="624"/>
      <c r="J72" s="625"/>
      <c r="K72" s="626"/>
      <c r="L72" s="347"/>
      <c r="M72" s="638"/>
      <c r="N72" s="347"/>
    </row>
    <row r="73" spans="1:16" x14ac:dyDescent="0.25">
      <c r="A73" s="347"/>
      <c r="B73" s="347"/>
      <c r="C73" s="347"/>
      <c r="D73" s="347"/>
      <c r="E73" s="347"/>
      <c r="F73" s="347"/>
      <c r="G73" s="347"/>
      <c r="H73" s="627"/>
      <c r="I73" s="347"/>
      <c r="J73" s="347"/>
      <c r="K73" s="347"/>
      <c r="L73" s="347"/>
      <c r="M73" s="638"/>
      <c r="N73" s="347"/>
    </row>
  </sheetData>
  <sheetProtection sheet="1" objects="1" scenarios="1"/>
  <mergeCells count="54">
    <mergeCell ref="C56:C57"/>
    <mergeCell ref="C5:J5"/>
    <mergeCell ref="E33:G33"/>
    <mergeCell ref="C15:C16"/>
    <mergeCell ref="C18:C19"/>
    <mergeCell ref="C21:C22"/>
    <mergeCell ref="C27:C28"/>
    <mergeCell ref="C30:C31"/>
    <mergeCell ref="C33:C34"/>
    <mergeCell ref="E54:G54"/>
    <mergeCell ref="E56:G56"/>
    <mergeCell ref="E57:G57"/>
    <mergeCell ref="C53:C54"/>
    <mergeCell ref="C42:C43"/>
    <mergeCell ref="E42:G42"/>
    <mergeCell ref="E46:G46"/>
    <mergeCell ref="B69:B71"/>
    <mergeCell ref="C69:C71"/>
    <mergeCell ref="E69:G69"/>
    <mergeCell ref="E70:G70"/>
    <mergeCell ref="E71:G71"/>
    <mergeCell ref="C59:J59"/>
    <mergeCell ref="B64:B67"/>
    <mergeCell ref="C64:C67"/>
    <mergeCell ref="E64:G64"/>
    <mergeCell ref="E65:G65"/>
    <mergeCell ref="E66:G66"/>
    <mergeCell ref="E67:G67"/>
    <mergeCell ref="C48:J48"/>
    <mergeCell ref="E51:G51"/>
    <mergeCell ref="E53:G53"/>
    <mergeCell ref="E43:G43"/>
    <mergeCell ref="E45:G45"/>
    <mergeCell ref="C45:C46"/>
    <mergeCell ref="B27:B28"/>
    <mergeCell ref="E27:G27"/>
    <mergeCell ref="E28:G28"/>
    <mergeCell ref="E34:G34"/>
    <mergeCell ref="C36:J36"/>
    <mergeCell ref="C39:C40"/>
    <mergeCell ref="E39:G39"/>
    <mergeCell ref="E40:G40"/>
    <mergeCell ref="E30:G30"/>
    <mergeCell ref="E31:G31"/>
    <mergeCell ref="E22:G22"/>
    <mergeCell ref="C24:J24"/>
    <mergeCell ref="C12:J12"/>
    <mergeCell ref="B15:B16"/>
    <mergeCell ref="E15:G15"/>
    <mergeCell ref="E16:G16"/>
    <mergeCell ref="B18:B22"/>
    <mergeCell ref="E18:G18"/>
    <mergeCell ref="E19:G19"/>
    <mergeCell ref="E21:G21"/>
  </mergeCells>
  <conditionalFormatting sqref="H1:H1048576">
    <cfRule type="containsText" dxfId="52"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8BCB4737-1DBF-4151-AE0E-F320A5F799C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I18:I19 I69:I71 I64:I67 I51 I53:I54 I56:I57 I39:I40 I42:I43 I45:I46 I30:I31 I33:I34 I27:I28 I21:I22 I15:I16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6"/>
  <sheetViews>
    <sheetView showGridLines="0" zoomScaleNormal="100" workbookViewId="0">
      <selection activeCell="I15" sqref="I15"/>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83</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Kyberturvallisuusarkkitehtuuri</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52.5" customHeight="1" x14ac:dyDescent="0.25">
      <c r="A5" s="344"/>
      <c r="B5" s="532"/>
      <c r="C5" s="750" t="str">
        <f>IF(VLOOKUP(CONCATENATE(C2,"-0"),Languages!$A:$D,1,TRUE)=CONCATENATE(C2,"-0"),VLOOKUP(CONCATENATE(C2,"-0"),Languages!$A:$D,Kybermittari!$C$7,TRUE),NA())</f>
        <v>Kyberturvallisuusarkkitehtuurin osiossa arvioidaan organisaation kykyä hallita ja ylläpitää kyberturvallisuustoimintaansa. Organisaation tulee luoda ja ylläpitää rakenteita, joilla se hallinnoi ja ohjaa organisaation kyberturvallisuuskontrolleja, -prosesseja ja muiden kyberturvallisuuden osa-alueiden toimintaa suhteessa sekä suojattaviin kohteisiin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Kyberturvallisuusarkkitehtuuris ja -kehitysohjelma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Verkkojen segmentointi osana kyberarkkitehtuuria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Sovellusturvallisuus osana kyberarkkitehtuuria</v>
      </c>
      <c r="F8" s="607"/>
      <c r="G8" s="386"/>
      <c r="H8" s="610"/>
      <c r="I8" s="459" t="str">
        <f ca="1">VLOOKUP(VLOOKUP(CONCATENATE($C$2,"-",$C8),Data!$K:$O,5,FALSE),Parameters!$C$7:$F$10,Kybermittari!$C$7,FALSE)</f>
        <v>Kypsyystaso 1</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Tietojensuojelu osana kyberarkkitehtuuria</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Kyberturvallisuusarkkitehtuuris ja -kehitysohjelma</v>
      </c>
      <c r="E11" s="336"/>
      <c r="F11" s="463"/>
      <c r="G11" s="463"/>
      <c r="H11" s="464"/>
      <c r="I11" s="464"/>
      <c r="J11" s="465"/>
      <c r="K11" s="466"/>
      <c r="L11" s="344"/>
      <c r="M11" s="533"/>
      <c r="N11" s="344"/>
      <c r="O11" s="341"/>
      <c r="P11" s="341"/>
    </row>
    <row r="12" spans="1:16" s="475" customFormat="1" ht="97" customHeight="1" x14ac:dyDescent="0.3">
      <c r="A12" s="469"/>
      <c r="B12" s="470"/>
      <c r="C12" s="745" t="str">
        <f>IF(VLOOKUP(CONCATENATE($C$2,"-",$C11,"-0"),Languages!$A:$D,1,TRUE)=CONCATENATE($C$2,"-",$C11,"-0"),VLOOKUP(CONCATENATE($C$2,"-",$C11,"-0"),Languages!$A:$D,Kybermittari!$C$7,TRUE),NA())</f>
        <v>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kyberturvallisuusarkkitehtuuri suunnitellaan toimimaan yhdessä organisaation yritysarkkitehtuuristrategian kanssa, toimii se syötteenä mm. riskianalyyseille ja suojattavien kohteiden konfiguroinnille.</v>
      </c>
      <c r="D12" s="745"/>
      <c r="E12" s="745"/>
      <c r="F12" s="745"/>
      <c r="G12" s="745"/>
      <c r="H12" s="745"/>
      <c r="I12" s="745"/>
      <c r="J12" s="745"/>
      <c r="K12" s="471"/>
      <c r="L12" s="483"/>
      <c r="M12" s="545"/>
      <c r="N12" s="483"/>
      <c r="O12" s="473"/>
      <c r="P12" s="473"/>
    </row>
    <row r="13" spans="1:16" s="547" customFormat="1" ht="20" customHeight="1" x14ac:dyDescent="0.3">
      <c r="A13" s="48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546"/>
      <c r="P13" s="546"/>
    </row>
    <row r="14" spans="1:16" s="547" customFormat="1" ht="10" customHeight="1" x14ac:dyDescent="0.3">
      <c r="A14" s="483"/>
      <c r="B14" s="476"/>
      <c r="C14" s="487"/>
      <c r="D14" s="487"/>
      <c r="E14" s="488"/>
      <c r="F14" s="489"/>
      <c r="G14" s="490"/>
      <c r="H14" s="491"/>
      <c r="I14" s="488"/>
      <c r="J14" s="490"/>
      <c r="K14" s="482"/>
      <c r="L14" s="483"/>
      <c r="M14" s="545"/>
      <c r="N14" s="483"/>
      <c r="O14" s="546"/>
      <c r="P14" s="546"/>
    </row>
    <row r="15" spans="1:16" s="495" customFormat="1" ht="48" customHeight="1" x14ac:dyDescent="0.3">
      <c r="A15" s="469"/>
      <c r="B15" s="749"/>
      <c r="C15" s="635">
        <v>1</v>
      </c>
      <c r="D15" s="492" t="s">
        <v>7</v>
      </c>
      <c r="E15" s="742" t="str">
        <f>IF(VLOOKUP(CONCATENATE($C$2,"-",$D15),Languages!$A:$D,1,TRUE)=CONCATENATE($C$2,"-",$D15),VLOOKUP(CONCATENATE($C$2,"-",$D15),Languages!$A:$D,Kybermittari!$C$7,TRUE),NA())</f>
        <v>Organisaatiolla on strategia kyberarkkitehtuurille (joka sisältää kyberarkkitehtuurin tavoitteet, prioriteetit, vastuut, ja seurannan) - vaikka sitä ei välttämättä kehitetä systemaattisesti.</v>
      </c>
      <c r="F15" s="742"/>
      <c r="G15" s="742"/>
      <c r="H15" s="493">
        <f t="shared" ref="H15" si="0">IFERROR(INT(LEFT($I15,1)),0)</f>
        <v>0</v>
      </c>
      <c r="I15" s="54"/>
      <c r="J15" s="526"/>
      <c r="K15" s="494"/>
      <c r="L15" s="469"/>
      <c r="M15" s="545"/>
      <c r="N15" s="469"/>
    </row>
    <row r="16" spans="1:16" s="495" customFormat="1" ht="10" customHeight="1" x14ac:dyDescent="0.3">
      <c r="A16" s="469"/>
      <c r="B16" s="749"/>
      <c r="C16" s="498"/>
      <c r="D16" s="499"/>
      <c r="E16" s="501"/>
      <c r="F16" s="501"/>
      <c r="G16" s="501"/>
      <c r="H16" s="499"/>
      <c r="I16" s="502"/>
      <c r="J16" s="502"/>
      <c r="K16" s="494"/>
      <c r="L16" s="469"/>
      <c r="M16" s="545"/>
      <c r="N16" s="469"/>
    </row>
    <row r="17" spans="1:16" s="495" customFormat="1" ht="60" customHeight="1" x14ac:dyDescent="0.3">
      <c r="A17" s="469"/>
      <c r="B17" s="749"/>
      <c r="C17" s="751">
        <v>2</v>
      </c>
      <c r="D17" s="492" t="s">
        <v>9</v>
      </c>
      <c r="E17" s="742" t="str">
        <f>IF(VLOOKUP(CONCATENATE($C$2,"-",$D17),Languages!$A:$D,1,TRUE)=CONCATENATE($C$2,"-",$D17),VLOOKUP(CONCATENATE($C$2,"-",$D17),Languages!$A:$D,Kybermittari!$C$7,TRUE),NA())</f>
        <v>Kyberarkkitehtuurille on määritetty strategia, jota pidetään yllä. Kyberarkkitehtuuristrategia tukee organisaation laajempaa kyberstrategiaa [kts. PROGRAM-1b] ja yritysarkkitehtuuria sekä noudattaa niiden periaatteita ja vaatimuksia.</v>
      </c>
      <c r="F17" s="742"/>
      <c r="G17" s="742"/>
      <c r="H17" s="493">
        <f>IFERROR(INT(LEFT($I17,1)),0)</f>
        <v>0</v>
      </c>
      <c r="I17" s="54"/>
      <c r="J17" s="526"/>
      <c r="K17" s="494"/>
      <c r="L17" s="469"/>
      <c r="M17" s="545"/>
      <c r="N17" s="469"/>
    </row>
    <row r="18" spans="1:16" s="495" customFormat="1" ht="44" customHeight="1" x14ac:dyDescent="0.3">
      <c r="A18" s="469"/>
      <c r="B18" s="749"/>
      <c r="C18" s="752"/>
      <c r="D18" s="492" t="s">
        <v>10</v>
      </c>
      <c r="E18" s="742" t="str">
        <f>IF(VLOOKUP(CONCATENATE($C$2,"-",$D18),Languages!$A:$D,1,TRUE)=CONCATENATE($C$2,"-",$D18),VLOOKUP(CONCATENATE($C$2,"-",$D18),Languages!$A:$D,Kybermittari!$C$7,TRUE),NA())</f>
        <v>Kyberarkkitehtuuri on dokumentoitu ja sitä pidetään yllä. Arkkitehtuuri kattaa organisaation IT- ja OT-järjestelmät ja -verkot ja noudattelee järjestelmien ja suojattavien kohteiden kategorisointia ja priorisointia.</v>
      </c>
      <c r="F18" s="742"/>
      <c r="G18" s="742"/>
      <c r="H18" s="493">
        <f>IFERROR(INT(LEFT($I18,1)),0)</f>
        <v>0</v>
      </c>
      <c r="I18" s="54"/>
      <c r="J18" s="526"/>
      <c r="K18" s="494"/>
      <c r="L18" s="549"/>
      <c r="M18" s="545"/>
      <c r="N18" s="549"/>
    </row>
    <row r="19" spans="1:16" s="495" customFormat="1" ht="60.5" customHeight="1" x14ac:dyDescent="0.3">
      <c r="A19" s="469"/>
      <c r="B19" s="749"/>
      <c r="C19" s="752"/>
      <c r="D19" s="492" t="s">
        <v>11</v>
      </c>
      <c r="E19" s="748" t="str">
        <f>IF(VLOOKUP(CONCATENATE($C$2,"-",$D19),Languages!$A:$D,1,TRUE)=CONCATENATE($C$2,"-",$D19),VLOOKUP(CONCATENATE($C$2,"-",$D19),Languages!$A:$D,Kybermittari!$C$7,TRUE),NA())</f>
        <v>Kyberarkkitehtuurille on määritetty hallintamalli ("governance"), jota pidetään yllä (esim. arkkitehtuurin arviointitoimikunta). Hallintamalli kattaa vaatimukset säännöllisistä arkkitehtuurikatselmoinneista sekä päätöksenteon poikkeusprosessille ("exception process").</v>
      </c>
      <c r="F19" s="748"/>
      <c r="G19" s="748"/>
      <c r="H19" s="493">
        <f>IFERROR(INT(LEFT($I19,1)),0)</f>
        <v>0</v>
      </c>
      <c r="I19" s="54"/>
      <c r="J19" s="526"/>
      <c r="K19" s="494"/>
      <c r="L19" s="469"/>
      <c r="M19" s="545"/>
      <c r="N19" s="469"/>
    </row>
    <row r="20" spans="1:16" s="495" customFormat="1" ht="35" customHeight="1" x14ac:dyDescent="0.3">
      <c r="A20" s="469"/>
      <c r="B20" s="749"/>
      <c r="C20" s="752"/>
      <c r="D20" s="503" t="s">
        <v>12</v>
      </c>
      <c r="E20" s="748" t="str">
        <f>IF(VLOOKUP(CONCATENATE($C$2,"-",$D20),Languages!$A:$D,1,TRUE)=CONCATENATE($C$2,"-",$D20),VLOOKUP(CONCATENATE($C$2,"-",$D20),Languages!$A:$D,Kybermittari!$C$7,TRUE),NA())</f>
        <v>Kyberarkkitehtuuri kattaa luottamuksellisuuteen, eheyteen ja saatavuuteen liittyvät vaatimukset toiminnan osa-alueen suojattaville kohteille.</v>
      </c>
      <c r="F20" s="748"/>
      <c r="G20" s="748"/>
      <c r="H20" s="493">
        <f>IFERROR(INT(LEFT($I20,1)),0)</f>
        <v>0</v>
      </c>
      <c r="I20" s="54"/>
      <c r="J20" s="527"/>
      <c r="K20" s="504"/>
      <c r="L20" s="469"/>
      <c r="M20" s="545"/>
      <c r="N20" s="469"/>
    </row>
    <row r="21" spans="1:16" s="495" customFormat="1" ht="60" customHeight="1" x14ac:dyDescent="0.3">
      <c r="A21" s="469"/>
      <c r="B21" s="749"/>
      <c r="C21" s="753"/>
      <c r="D21" s="503" t="s">
        <v>13</v>
      </c>
      <c r="E21" s="748" t="str">
        <f>IF(VLOOKUP(CONCATENATE($C$2,"-",$D21),Languages!$A:$D,1,TRUE)=CONCATENATE($C$2,"-",$D21),VLOOKUP(CONCATENATE($C$2,"-",$D21),Languages!$A:$D,Kybermittari!$C$7,TRUE),NA())</f>
        <v>Kyberarkkitehtuuri noudattaa kyberturvallisuuden periaatteita ja mahdollistaa niiden toteuttamisen (kuten minimi-toiminnallisuus ("least functionality"), oletus kielto ("deafult deny"), pienimmät käyttöoikeudet ("least privilege")).</v>
      </c>
      <c r="F21" s="748"/>
      <c r="G21" s="748"/>
      <c r="H21" s="493">
        <f>IFERROR(INT(LEFT($I21,1)),0)</f>
        <v>0</v>
      </c>
      <c r="I21" s="54"/>
      <c r="J21" s="527"/>
      <c r="K21" s="504"/>
      <c r="L21" s="524"/>
      <c r="M21" s="545"/>
      <c r="N21" s="524"/>
    </row>
    <row r="22" spans="1:16" s="495" customFormat="1" ht="10" customHeight="1" x14ac:dyDescent="0.3">
      <c r="A22" s="469"/>
      <c r="B22" s="613"/>
      <c r="C22" s="498"/>
      <c r="D22" s="614"/>
      <c r="E22" s="615"/>
      <c r="F22" s="615"/>
      <c r="G22" s="615"/>
      <c r="H22" s="499"/>
      <c r="I22" s="502"/>
      <c r="J22" s="514"/>
      <c r="K22" s="504"/>
      <c r="L22" s="524"/>
      <c r="M22" s="545"/>
      <c r="N22" s="524"/>
    </row>
    <row r="23" spans="1:16" s="495" customFormat="1" ht="47" customHeight="1" x14ac:dyDescent="0.3">
      <c r="A23" s="469"/>
      <c r="B23" s="613"/>
      <c r="C23" s="751">
        <v>3</v>
      </c>
      <c r="D23" s="503" t="s">
        <v>14</v>
      </c>
      <c r="E23" s="748" t="str">
        <f>IF(VLOOKUP(CONCATENATE($C$2,"-",$D23),Languages!$A:$D,1,TRUE)=CONCATENATE($C$2,"-",$D23),VLOOKUP(CONCATENATE($C$2,"-",$D23),Languages!$A:$D,Kybermittari!$C$7,TRUE),NA())</f>
        <v>Kyberarkkitehtuuristrategia ja kyberturvallisuuden kehityssuunnitelma noudattelevat organisaation laajempaa yritysarkkitehtuuristrategiaa ja -kehityssuunnitelmia.</v>
      </c>
      <c r="F23" s="748"/>
      <c r="G23" s="748"/>
      <c r="H23" s="493">
        <f>IFERROR(INT(LEFT($I23,1)),0)</f>
        <v>0</v>
      </c>
      <c r="I23" s="54"/>
      <c r="J23" s="527"/>
      <c r="K23" s="504"/>
      <c r="L23" s="524"/>
      <c r="M23" s="545"/>
      <c r="N23" s="524"/>
    </row>
    <row r="24" spans="1:16" s="495" customFormat="1" ht="60.5" customHeight="1" x14ac:dyDescent="0.3">
      <c r="A24" s="469"/>
      <c r="B24" s="613"/>
      <c r="C24" s="752"/>
      <c r="D24" s="503" t="s">
        <v>15</v>
      </c>
      <c r="E24" s="748" t="str">
        <f>IF(VLOOKUP(CONCATENATE($C$2,"-",$D24),Languages!$A:$D,1,TRUE)=CONCATENATE($C$2,"-",$D24),VLOOKUP(CONCATENATE($C$2,"-",$D24),Languages!$A:$D,Kybermittari!$C$7,TRUE),NA())</f>
        <v>Organisaation järjestelmien ja verkkojen vaatimustenmukaisuutta kyberarkkitehtuuriin nähden arvioidaan organisaation määrittelemien kriteerien perusteella (esim. toteuttamisesta kulunut aika tai järjestelmissä, verkoissa tai suojattavissa kohteissa tapahtuvat muutokset).</v>
      </c>
      <c r="F24" s="748"/>
      <c r="G24" s="748"/>
      <c r="H24" s="493">
        <f>IFERROR(INT(LEFT($I24,1)),0)</f>
        <v>0</v>
      </c>
      <c r="I24" s="54"/>
      <c r="J24" s="527"/>
      <c r="K24" s="504"/>
      <c r="L24" s="524"/>
      <c r="M24" s="545"/>
      <c r="N24" s="524"/>
    </row>
    <row r="25" spans="1:16" s="495" customFormat="1" ht="47" customHeight="1" x14ac:dyDescent="0.3">
      <c r="A25" s="469"/>
      <c r="B25" s="616"/>
      <c r="C25" s="753"/>
      <c r="D25" s="503" t="s">
        <v>16</v>
      </c>
      <c r="E25" s="748" t="str">
        <f>IF(VLOOKUP(CONCATENATE($C$2,"-",$D25),Languages!$A:$D,1,TRUE)=CONCATENATE($C$2,"-",$D25),VLOOKUP(CONCATENATE($C$2,"-",$D25),Languages!$A:$D,Kybermittari!$C$7,TRUE),NA())</f>
        <v>Kyberarkkitehtuurin määrittelyssä hyödynnetään järjestelmällisesti organisaation tunnistamia riskejä [kts. RISK-2e] ja uhkia [kts. THREAT-1d] helpottamaan tarvittavien kontrollien toteuttamista.</v>
      </c>
      <c r="F25" s="748"/>
      <c r="G25" s="748"/>
      <c r="H25" s="493">
        <f>IFERROR(INT(LEFT($I25,1)),0)</f>
        <v>0</v>
      </c>
      <c r="I25" s="54"/>
      <c r="J25" s="527"/>
      <c r="K25" s="504"/>
      <c r="L25" s="524"/>
      <c r="M25" s="545"/>
      <c r="N25" s="524"/>
    </row>
    <row r="26" spans="1:16" s="343" customFormat="1" ht="30" customHeight="1" x14ac:dyDescent="0.25">
      <c r="A26" s="332"/>
      <c r="B26" s="461"/>
      <c r="C26" s="336">
        <v>2</v>
      </c>
      <c r="D26" s="336" t="str">
        <f>IF(VLOOKUP(CONCATENATE($C$2,"-",C26),Languages!$A:$D,1,TRUE)=CONCATENATE($C$2,"-",C26),VLOOKUP(CONCATENATE($C$2,"-",C26),Languages!$A:$D,Kybermittari!$C$7,TRUE),NA())</f>
        <v>Verkkojen segmentointi osana kyberarkkitehtuuria</v>
      </c>
      <c r="E26" s="336"/>
      <c r="F26" s="506"/>
      <c r="G26" s="506"/>
      <c r="H26" s="506"/>
      <c r="I26" s="506" t="s">
        <v>19</v>
      </c>
      <c r="J26" s="507"/>
      <c r="K26" s="339"/>
      <c r="L26" s="347"/>
      <c r="M26" s="533"/>
      <c r="N26" s="347"/>
      <c r="O26" s="341"/>
      <c r="P26" s="341"/>
    </row>
    <row r="27" spans="1:16" s="475" customFormat="1" ht="36.5" customHeight="1" x14ac:dyDescent="0.3">
      <c r="A27" s="469"/>
      <c r="B27" s="470"/>
      <c r="C27" s="745" t="str">
        <f>IF(VLOOKUP(CONCATENATE($C$2,"-",$C26,"-0"),Languages!$A:$D,1,TRUE)=CONCATENATE($C$2,"-",$C26,"-0"),VLOOKUP(CONCATENATE($C$2,"-",$C26,"-0"),Languages!$A:$D,Kybermittari!$C$7,TRUE),NA())</f>
        <v>Verkkojen segmentointi voidaan toteuttaa fyysisellä ja/tai loogisella tasolla ja sen tarkoitus on pienentää hyökkäyspinta-alaa. Optimitilanteessa jokaiselle laitteelle on perusteltu syy sen sijoittamiseen tiettyyn verkkosegmenttiin.</v>
      </c>
      <c r="D27" s="745"/>
      <c r="E27" s="745"/>
      <c r="F27" s="745"/>
      <c r="G27" s="745"/>
      <c r="H27" s="745"/>
      <c r="I27" s="745"/>
      <c r="J27" s="745"/>
      <c r="K27" s="471"/>
      <c r="L27" s="524"/>
      <c r="M27" s="545"/>
      <c r="N27" s="524"/>
      <c r="O27" s="473"/>
      <c r="P27" s="473"/>
    </row>
    <row r="28" spans="1:16" s="547" customFormat="1" ht="20" customHeight="1" x14ac:dyDescent="0.3">
      <c r="A28" s="483"/>
      <c r="B28" s="476"/>
      <c r="C28" s="477" t="str">
        <f>IF(VLOOKUP("GEN-LEVEL",Languages!$A:$D,1,TRUE)="GEN-LEVEL",VLOOKUP("GEN-LEVEL",Languages!$A:$D,Kybermittari!$C$7,TRUE),NA())</f>
        <v>Taso</v>
      </c>
      <c r="D28" s="477"/>
      <c r="E28" s="478" t="str">
        <f>IF(VLOOKUP("GEN-PRACTICE",Languages!$A:$D,1,TRUE)="GEN-PRACTICE",VLOOKUP("GEN-PRACTICE",Languages!$A:$D,Kybermittari!$C$7,TRUE),NA())</f>
        <v>Käytäntö</v>
      </c>
      <c r="F28" s="479"/>
      <c r="G28" s="480"/>
      <c r="H28" s="481"/>
      <c r="I28" s="478" t="str">
        <f>IF(VLOOKUP("GEN-ANSWER",Languages!$A:$D,1,TRUE)="GEN-ANSWER",VLOOKUP("GEN-ANSWER",Languages!$A:$D,Kybermittari!$C$7,TRUE),NA())</f>
        <v>Vastaus</v>
      </c>
      <c r="J28" s="480" t="str">
        <f>IF(VLOOKUP("GEN-COMMENT",Languages!$A:$D,1,TRUE)="GEN-COMMENT",VLOOKUP("GEN-COMMENT",Languages!$A:$D,Kybermittari!$C$7,TRUE),NA())</f>
        <v>Kommentti ja viittaukset</v>
      </c>
      <c r="K28" s="482"/>
      <c r="L28" s="524"/>
      <c r="M28" s="545"/>
      <c r="N28" s="524"/>
      <c r="O28" s="546"/>
      <c r="P28" s="546"/>
    </row>
    <row r="29" spans="1:16" s="547" customFormat="1" ht="10" customHeight="1" x14ac:dyDescent="0.3">
      <c r="A29" s="483"/>
      <c r="B29" s="476"/>
      <c r="C29" s="487"/>
      <c r="D29" s="487"/>
      <c r="E29" s="488"/>
      <c r="F29" s="489"/>
      <c r="G29" s="490"/>
      <c r="H29" s="491"/>
      <c r="I29" s="488"/>
      <c r="J29" s="490"/>
      <c r="K29" s="482"/>
      <c r="L29" s="524"/>
      <c r="M29" s="545"/>
      <c r="N29" s="524"/>
      <c r="O29" s="546"/>
      <c r="P29" s="546"/>
    </row>
    <row r="30" spans="1:16" s="510" customFormat="1" ht="75" customHeight="1" x14ac:dyDescent="0.3">
      <c r="A30" s="524"/>
      <c r="B30" s="741"/>
      <c r="C30" s="557">
        <v>1</v>
      </c>
      <c r="D30" s="508" t="s">
        <v>20</v>
      </c>
      <c r="E30" s="742" t="str">
        <f>IF(VLOOKUP(CONCATENATE($C$2,"-",$D30),Languages!$A:$D,1,TRUE)=CONCATENATE($C$2,"-",$D30),VLOOKUP(CONCATENATE($C$2,"-",$D30),Languages!$A:$D,Kybermittari!$C$7,TRUE),NA())</f>
        <v>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v>
      </c>
      <c r="F30" s="742"/>
      <c r="G30" s="742"/>
      <c r="H30" s="493">
        <f>IFERROR(INT(LEFT($I30,1)),0)</f>
        <v>0</v>
      </c>
      <c r="I30" s="54"/>
      <c r="J30" s="526"/>
      <c r="K30" s="509"/>
      <c r="L30" s="618"/>
      <c r="M30" s="545"/>
      <c r="N30" s="618"/>
      <c r="O30" s="495"/>
      <c r="P30" s="495"/>
    </row>
    <row r="31" spans="1:16" s="510" customFormat="1" ht="10" customHeight="1" x14ac:dyDescent="0.3">
      <c r="A31" s="524"/>
      <c r="B31" s="741"/>
      <c r="C31" s="565"/>
      <c r="D31" s="513"/>
      <c r="E31" s="501"/>
      <c r="F31" s="501"/>
      <c r="G31" s="501"/>
      <c r="H31" s="499"/>
      <c r="I31" s="502"/>
      <c r="J31" s="502"/>
      <c r="K31" s="509"/>
      <c r="L31" s="618"/>
      <c r="M31" s="545"/>
      <c r="N31" s="618"/>
      <c r="O31" s="495"/>
      <c r="P31" s="495"/>
    </row>
    <row r="32" spans="1:16" s="510" customFormat="1" ht="60.5" customHeight="1" x14ac:dyDescent="0.3">
      <c r="A32" s="524"/>
      <c r="B32" s="741"/>
      <c r="C32" s="557">
        <v>2</v>
      </c>
      <c r="D32" s="508" t="s">
        <v>21</v>
      </c>
      <c r="E32" s="742" t="str">
        <f>IF(VLOOKUP(CONCATENATE($C$2,"-",$D32),Languages!$A:$D,1,TRUE)=CONCATENATE($C$2,"-",$D32),VLOOKUP(CONCATENATE($C$2,"-",$D32),Languages!$A:$D,Kybermittari!$C$7,TRUE),NA())</f>
        <v>Toiminnan osa-alueen toimintavarmuuden kannalta tärkeät suojattavat kohteet on segmentoitu useisiin turvallisuusvyöhykkeisiin perustuen kyberarkkitehtuurissa määritettyihin kriteereihin (esim. riskiarviointien tulokset, turvallisuusvaatimukset, etäkäyttö, toiminnalliset vaatimukset).</v>
      </c>
      <c r="F32" s="742"/>
      <c r="G32" s="742"/>
      <c r="H32" s="493">
        <f>IFERROR(INT(LEFT($I32,1)),0)</f>
        <v>0</v>
      </c>
      <c r="I32" s="54"/>
      <c r="J32" s="527"/>
      <c r="K32" s="509"/>
      <c r="L32" s="524"/>
      <c r="M32" s="545"/>
      <c r="N32" s="524"/>
      <c r="O32" s="495"/>
      <c r="P32" s="495"/>
    </row>
    <row r="33" spans="1:16" s="510" customFormat="1" ht="10" customHeight="1" x14ac:dyDescent="0.3">
      <c r="A33" s="524"/>
      <c r="B33" s="511"/>
      <c r="C33" s="565"/>
      <c r="D33" s="513"/>
      <c r="E33" s="501"/>
      <c r="F33" s="501"/>
      <c r="G33" s="501"/>
      <c r="H33" s="499"/>
      <c r="I33" s="502"/>
      <c r="J33" s="514"/>
      <c r="K33" s="509"/>
      <c r="L33" s="524"/>
      <c r="M33" s="545"/>
      <c r="N33" s="524"/>
      <c r="O33" s="495"/>
      <c r="P33" s="495"/>
    </row>
    <row r="34" spans="1:16" s="510" customFormat="1" ht="35" customHeight="1" x14ac:dyDescent="0.3">
      <c r="A34" s="524"/>
      <c r="B34" s="511"/>
      <c r="C34" s="557">
        <v>3</v>
      </c>
      <c r="D34" s="508" t="s">
        <v>22</v>
      </c>
      <c r="E34" s="742" t="str">
        <f>IF(VLOOKUP(CONCATENATE($C$2,"-",$D34),Languages!$A:$D,1,TRUE)=CONCATENATE($C$2,"-",$D34),VLOOKUP(CONCATENATE($C$2,"-",$D34),Languages!$A:$D,Kybermittari!$C$7,TRUE),NA())</f>
        <v>Kaikki suojattavat kohteet on segmentoitu turvallisuusvyöhykkeisiin perustuen kyberarkkitehtuurissa määritettyihin kriteereihin.</v>
      </c>
      <c r="F34" s="742"/>
      <c r="G34" s="742"/>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Sovellusturvallisuus osana kyberarkkitehtuuria</v>
      </c>
      <c r="E35" s="336"/>
      <c r="F35" s="506"/>
      <c r="G35" s="506"/>
      <c r="H35" s="506"/>
      <c r="I35" s="506" t="s">
        <v>19</v>
      </c>
      <c r="J35" s="507"/>
      <c r="K35" s="339"/>
      <c r="L35" s="332"/>
      <c r="M35" s="533"/>
      <c r="N35" s="636"/>
      <c r="O35" s="341"/>
      <c r="P35" s="341"/>
    </row>
    <row r="36" spans="1:16" s="510" customFormat="1" ht="35" customHeight="1" x14ac:dyDescent="0.3">
      <c r="A36" s="524"/>
      <c r="B36" s="511"/>
      <c r="C36" s="745" t="str">
        <f>IF(VLOOKUP(CONCATENATE($C$2,"-",$C35,"-0"),Languages!$A:$D,1,TRUE)=CONCATENATE($C$2,"-",$C35,"-0"),VLOOKUP(CONCATENATE($C$2,"-",$C35,"-0"),Languages!$A:$D,Kybermittari!$C$7,TRUE),NA())</f>
        <v>Sovellusturvallisuus on keskeisessä roolissa kyberarkkitehtuurissa, kun suojataan käyttäjiä ja tietoa. Kehitettävien sovelluksien tulee olla resilienttejä myös epäsuotuisissa olosuhteissa ja väärinkäyttöä vastaan. Sovellusturvallisuus tulee huomioida myös käytettäessä kolmansien osapuolien ratkaisuja.</v>
      </c>
      <c r="D36" s="745"/>
      <c r="E36" s="745"/>
      <c r="F36" s="745"/>
      <c r="G36" s="745"/>
      <c r="H36" s="745"/>
      <c r="I36" s="745"/>
      <c r="J36" s="745"/>
      <c r="K36" s="509"/>
      <c r="L36" s="483"/>
      <c r="M36" s="545"/>
      <c r="N36" s="523"/>
      <c r="O36" s="495"/>
      <c r="P36" s="495"/>
    </row>
    <row r="37" spans="1:16" s="547" customFormat="1" ht="20" customHeight="1" x14ac:dyDescent="0.3">
      <c r="A37" s="48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546"/>
      <c r="P37" s="546"/>
    </row>
    <row r="38" spans="1:16" s="547" customFormat="1" ht="10" customHeight="1" x14ac:dyDescent="0.3">
      <c r="A38" s="483"/>
      <c r="B38" s="476"/>
      <c r="C38" s="487"/>
      <c r="D38" s="487"/>
      <c r="E38" s="488"/>
      <c r="F38" s="489"/>
      <c r="G38" s="490"/>
      <c r="H38" s="491"/>
      <c r="I38" s="488"/>
      <c r="J38" s="490"/>
      <c r="K38" s="482"/>
      <c r="L38" s="483"/>
      <c r="M38" s="545"/>
      <c r="N38" s="523"/>
      <c r="O38" s="546"/>
      <c r="P38" s="546"/>
    </row>
    <row r="39" spans="1:16" s="547" customFormat="1" ht="20" customHeight="1" x14ac:dyDescent="0.3">
      <c r="A39" s="483"/>
      <c r="B39" s="476"/>
      <c r="C39" s="557">
        <v>1</v>
      </c>
      <c r="D39" s="558"/>
      <c r="E39" s="559"/>
      <c r="F39" s="560"/>
      <c r="G39" s="561"/>
      <c r="H39" s="562"/>
      <c r="I39" s="559"/>
      <c r="J39" s="563"/>
      <c r="K39" s="482"/>
      <c r="L39" s="483"/>
      <c r="M39" s="545"/>
      <c r="N39" s="523"/>
      <c r="O39" s="546"/>
      <c r="P39" s="546"/>
    </row>
    <row r="40" spans="1:16" s="547" customFormat="1" ht="10" customHeight="1" x14ac:dyDescent="0.3">
      <c r="A40" s="483"/>
      <c r="B40" s="476"/>
      <c r="C40" s="487"/>
      <c r="D40" s="487"/>
      <c r="E40" s="488"/>
      <c r="F40" s="489"/>
      <c r="G40" s="490"/>
      <c r="H40" s="491"/>
      <c r="I40" s="488"/>
      <c r="J40" s="490"/>
      <c r="K40" s="482"/>
      <c r="L40" s="483"/>
      <c r="M40" s="545"/>
      <c r="N40" s="523"/>
      <c r="O40" s="546"/>
      <c r="P40" s="546"/>
    </row>
    <row r="41" spans="1:16" s="510" customFormat="1" ht="47" customHeight="1" x14ac:dyDescent="0.3">
      <c r="A41" s="524"/>
      <c r="B41" s="511"/>
      <c r="C41" s="757">
        <v>2</v>
      </c>
      <c r="D41" s="508" t="s">
        <v>25</v>
      </c>
      <c r="E41" s="742" t="str">
        <f>IF(VLOOKUP(CONCATENATE($C$2,"-",$D41),Languages!$A:$D,1,TRUE)=CONCATENATE($C$2,"-",$D41),VLOOKUP(CONCATENATE($C$2,"-",$D41),Languages!$A:$D,Kybermittari!$C$7,TRUE),NA())</f>
        <v>Sisäisesti kehitettävien sovellusten kehitystyössä noudatetaan turvallisen sovelluskehityksen periaatteita. (Koskee sovelluksia, joita kehitetään toiminnan osa-alueen toimintavarmuuden kannalta tärkeisiin suojattaviin kohteisiin).</v>
      </c>
      <c r="F41" s="742"/>
      <c r="G41" s="742"/>
      <c r="H41" s="493">
        <f>IFERROR(INT(LEFT($I41,1)),0)</f>
        <v>0</v>
      </c>
      <c r="I41" s="54"/>
      <c r="J41" s="527"/>
      <c r="K41" s="509"/>
      <c r="L41" s="524"/>
      <c r="M41" s="545"/>
      <c r="N41" s="524"/>
      <c r="O41" s="495"/>
      <c r="P41" s="495"/>
    </row>
    <row r="42" spans="1:16" s="510" customFormat="1" ht="76" customHeight="1" x14ac:dyDescent="0.3">
      <c r="A42" s="524"/>
      <c r="B42" s="511"/>
      <c r="C42" s="759"/>
      <c r="D42" s="508" t="s">
        <v>26</v>
      </c>
      <c r="E42" s="742" t="str">
        <f>IF(VLOOKUP(CONCATENATE($C$2,"-",$D42),Languages!$A:$D,1,TRUE)=CONCATENATE($C$2,"-",$D42),VLOOKUP(CONCATENATE($C$2,"-",$D42),Languages!$A:$D,Kybermittari!$C$7,TRUE),NA())</f>
        <v>Hankittavien sovellusten (esim. mobiilisovellukset, omaan ympäristöön asennettavat sovellukset, SaaS-sovellukset) yhtenä valintakriteerinä käytetään toimittajan turvallisen sovelluskehityksen periaatteita [kts. DEPENDENCIES-2e]. (Koskee sovelluksia, joita hankitaan toiminnan osa-alueen toimintavarmuuden kannalta tärkeisiin suojattaviin kohteisiin).</v>
      </c>
      <c r="F42" s="742"/>
      <c r="G42" s="742"/>
      <c r="H42" s="493">
        <f>IFERROR(INT(LEFT($I42,1)),0)</f>
        <v>0</v>
      </c>
      <c r="I42" s="54"/>
      <c r="J42" s="527"/>
      <c r="K42" s="509"/>
      <c r="L42" s="524"/>
      <c r="M42" s="545"/>
      <c r="N42" s="524"/>
      <c r="O42" s="495"/>
      <c r="P42" s="495"/>
    </row>
    <row r="43" spans="1:16" s="510" customFormat="1" ht="10" customHeight="1" x14ac:dyDescent="0.3">
      <c r="A43" s="524"/>
      <c r="B43" s="511"/>
      <c r="C43" s="565"/>
      <c r="D43" s="513"/>
      <c r="E43" s="501"/>
      <c r="F43" s="501"/>
      <c r="G43" s="501"/>
      <c r="H43" s="499"/>
      <c r="I43" s="502"/>
      <c r="J43" s="514"/>
      <c r="K43" s="509"/>
      <c r="L43" s="524"/>
      <c r="M43" s="545"/>
      <c r="N43" s="524"/>
      <c r="O43" s="495"/>
      <c r="P43" s="495"/>
    </row>
    <row r="44" spans="1:16" s="510" customFormat="1" ht="46" customHeight="1" x14ac:dyDescent="0.3">
      <c r="A44" s="524"/>
      <c r="B44" s="511"/>
      <c r="C44" s="757">
        <v>3</v>
      </c>
      <c r="D44" s="508" t="s">
        <v>27</v>
      </c>
      <c r="E44" s="742" t="str">
        <f>IF(VLOOKUP(CONCATENATE($C$2,"-",$D44),Languages!$A:$D,1,TRUE)=CONCATENATE($C$2,"-",$D44),VLOOKUP(CONCATENATE($C$2,"-",$D44),Languages!$A:$D,Kybermittari!$C$7,TRUE),NA())</f>
        <v>Arkkitehtuurikatselmointiprosessi arvioi uusien ja päivitettyjen sovellusten turvallisuutta ennen tuotantoon vientiä [kts. ARCHITECTURE-1h].</v>
      </c>
      <c r="F44" s="742"/>
      <c r="G44" s="742"/>
      <c r="H44" s="493">
        <f>IFERROR(INT(LEFT($I44,1)),0)</f>
        <v>0</v>
      </c>
      <c r="I44" s="54"/>
      <c r="J44" s="527"/>
      <c r="K44" s="509"/>
      <c r="L44" s="524"/>
      <c r="M44" s="545"/>
      <c r="N44" s="524"/>
      <c r="O44" s="495"/>
      <c r="P44" s="495"/>
    </row>
    <row r="45" spans="1:16" s="510" customFormat="1" ht="75.5" customHeight="1" x14ac:dyDescent="0.3">
      <c r="A45" s="524"/>
      <c r="B45" s="511"/>
      <c r="C45" s="759"/>
      <c r="D45" s="508" t="s">
        <v>28</v>
      </c>
      <c r="E45" s="742" t="str">
        <f>IF(VLOOKUP(CONCATENATE($C$2,"-",$D45),Languages!$A:$D,1,TRUE)=CONCATENATE($C$2,"-",$D45),VLOOKUP(CONCATENATE($C$2,"-",$D45),Languages!$A:$D,Kybermittari!$C$7,TRUE),NA())</f>
        <v>Turvallisuustestausta (esim. staattinen analyysi, dynaaminen testaus, fuzzaus, murtotestaus) tehdään sisäisesti kehitettyihin ja räätälöityihin sovelluksiin. Testausta tehdään tunnistettujen riskien perusteella, käyttäen organisaation määrittämiä kriteerejä (esim. toteuttamisesta kulunut aika, muutokset sovelluksissa tai muutokset uhkaympäristössä).</v>
      </c>
      <c r="F45" s="742"/>
      <c r="G45" s="742"/>
      <c r="H45" s="493">
        <f>IFERROR(INT(LEFT($I45,1)),0)</f>
        <v>0</v>
      </c>
      <c r="I45" s="54"/>
      <c r="J45" s="527"/>
      <c r="K45" s="509"/>
      <c r="L45" s="524"/>
      <c r="M45" s="545"/>
      <c r="N45" s="524"/>
      <c r="O45" s="495"/>
      <c r="P45" s="495"/>
    </row>
    <row r="46" spans="1:16" s="343" customFormat="1" ht="30" customHeight="1" x14ac:dyDescent="0.25">
      <c r="A46" s="332"/>
      <c r="B46" s="461"/>
      <c r="C46" s="336">
        <v>4</v>
      </c>
      <c r="D46" s="336" t="str">
        <f>IF(VLOOKUP(CONCATENATE($C$2,"-",C46),Languages!$A:$D,1,TRUE)=CONCATENATE($C$2,"-",C46),VLOOKUP(CONCATENATE($C$2,"-",C46),Languages!$A:$D,Kybermittari!$C$7,TRUE),NA())</f>
        <v>Tietojensuojelu osana kyberarkkitehtuuria</v>
      </c>
      <c r="E46" s="336"/>
      <c r="F46" s="506"/>
      <c r="G46" s="506"/>
      <c r="H46" s="506"/>
      <c r="I46" s="506" t="s">
        <v>19</v>
      </c>
      <c r="J46" s="507"/>
      <c r="K46" s="339"/>
      <c r="L46" s="347"/>
      <c r="M46" s="533"/>
      <c r="N46" s="347"/>
      <c r="O46" s="341"/>
      <c r="P46" s="341"/>
    </row>
    <row r="47" spans="1:16" s="510" customFormat="1" ht="35" customHeight="1" x14ac:dyDescent="0.3">
      <c r="A47" s="524"/>
      <c r="B47" s="511"/>
      <c r="C47" s="745" t="str">
        <f>IF(VLOOKUP(CONCATENATE($C$2,"-",$C46,"-0"),Languages!$A:$D,1,TRUE)=CONCATENATE($C$2,"-",$C46,"-0"),VLOOKUP(CONCATENATE($C$2,"-",$C46,"-0"),Languages!$A:$D,Kybermittari!$C$7,TRUE),NA())</f>
        <v>Kyberarkkitehtuuri rakentuu suojattavan tiedon ympärille. Jotta sensitiivistä tietoa voidaan suojata, tulee se ensin tunnistaa. Suojaamiseen käytettävien kontrollien ja keinojen, kuten avaintenhallinnan prosessien, tulee olla toteutettu ja käytössä.</v>
      </c>
      <c r="D47" s="745"/>
      <c r="E47" s="745"/>
      <c r="F47" s="745"/>
      <c r="G47" s="745"/>
      <c r="H47" s="745"/>
      <c r="I47" s="745"/>
      <c r="J47" s="745"/>
      <c r="K47" s="509"/>
      <c r="L47" s="524"/>
      <c r="M47" s="545"/>
      <c r="N47" s="524"/>
      <c r="O47" s="495"/>
      <c r="P47" s="495"/>
    </row>
    <row r="48" spans="1:16" s="547" customFormat="1" ht="20" customHeight="1" x14ac:dyDescent="0.3">
      <c r="A48" s="483"/>
      <c r="B48" s="476"/>
      <c r="C48" s="477" t="str">
        <f>IF(VLOOKUP("GEN-LEVEL",Languages!$A:$D,1,TRUE)="GEN-LEVEL",VLOOKUP("GEN-LEVEL",Languages!$A:$D,Kybermittari!$C$7,TRUE),NA())</f>
        <v>Taso</v>
      </c>
      <c r="D48" s="477"/>
      <c r="E48" s="478" t="str">
        <f>IF(VLOOKUP("GEN-PRACTICE",Languages!$A:$D,1,TRUE)="GEN-PRACTICE",VLOOKUP("GEN-PRACTICE",Languages!$A:$D,Kybermittari!$C$7,TRUE),NA())</f>
        <v>Käytäntö</v>
      </c>
      <c r="F48" s="479"/>
      <c r="G48" s="480"/>
      <c r="H48" s="481"/>
      <c r="I48" s="478" t="str">
        <f>IF(VLOOKUP("GEN-ANSWER",Languages!$A:$D,1,TRUE)="GEN-ANSWER",VLOOKUP("GEN-ANSWER",Languages!$A:$D,Kybermittari!$C$7,TRUE),NA())</f>
        <v>Vastaus</v>
      </c>
      <c r="J48" s="480" t="str">
        <f>IF(VLOOKUP("GEN-COMMENT",Languages!$A:$D,1,TRUE)="GEN-COMMENT",VLOOKUP("GEN-COMMENT",Languages!$A:$D,Kybermittari!$C$7,TRUE),NA())</f>
        <v>Kommentti ja viittaukset</v>
      </c>
      <c r="K48" s="482"/>
      <c r="L48" s="618"/>
      <c r="M48" s="545"/>
      <c r="N48" s="618"/>
      <c r="O48" s="546"/>
      <c r="P48" s="546"/>
    </row>
    <row r="49" spans="1:16" s="547" customFormat="1" ht="10" customHeight="1" x14ac:dyDescent="0.3">
      <c r="A49" s="483"/>
      <c r="B49" s="476"/>
      <c r="C49" s="487"/>
      <c r="D49" s="487"/>
      <c r="E49" s="488"/>
      <c r="F49" s="489"/>
      <c r="G49" s="490"/>
      <c r="H49" s="491"/>
      <c r="I49" s="488"/>
      <c r="J49" s="490"/>
      <c r="K49" s="482"/>
      <c r="L49" s="618"/>
      <c r="M49" s="545"/>
      <c r="N49" s="618"/>
      <c r="O49" s="546"/>
      <c r="P49" s="546"/>
    </row>
    <row r="50" spans="1:16" s="510" customFormat="1" ht="74" customHeight="1" x14ac:dyDescent="0.3">
      <c r="A50" s="524"/>
      <c r="B50" s="511"/>
      <c r="C50" s="757">
        <v>1</v>
      </c>
      <c r="D50" s="508" t="s">
        <v>126</v>
      </c>
      <c r="E50" s="742" t="str">
        <f>IF(VLOOKUP(CONCATENATE($C$2,"-",$D50),Languages!$A:$D,1,TRUE)=CONCATENATE($C$2,"-",$D50),VLOOKUP(CONCATENATE($C$2,"-",$D50),Languages!$A:$D,Kybermittari!$C$7,TRUE),NA())</f>
        <v>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v>
      </c>
      <c r="F50" s="742"/>
      <c r="G50" s="742"/>
      <c r="H50" s="493">
        <f>IFERROR(INT(LEFT($I50,1)),0)</f>
        <v>0</v>
      </c>
      <c r="I50" s="54"/>
      <c r="J50" s="527"/>
      <c r="K50" s="509"/>
      <c r="L50" s="524"/>
      <c r="M50" s="545"/>
      <c r="N50" s="524"/>
      <c r="O50" s="495"/>
      <c r="P50" s="495"/>
    </row>
    <row r="51" spans="1:16" s="510" customFormat="1" ht="59" customHeight="1" x14ac:dyDescent="0.3">
      <c r="A51" s="524"/>
      <c r="B51" s="511"/>
      <c r="C51" s="759"/>
      <c r="D51" s="508" t="s">
        <v>129</v>
      </c>
      <c r="E51" s="742" t="str">
        <f>IF(VLOOKUP(CONCATENATE($C$2,"-",$D51),Languages!$A:$D,1,TRUE)=CONCATENATE($C$2,"-",$D51),VLOOKUP(CONCATENATE($C$2,"-",$D51),Languages!$A:$D,Kybermittari!$C$7,TRUE),NA())</f>
        <v>Arkaluontoisia tietoja suojataan siirron yhteydessä ("at transit") - ainakin tapauskohtaisesti [kts. ASSET-2c]. (Suojaustapoja voidaan käyttää esim. salausta, maskausta tai siirtoa suojatuissa kanavissa).</v>
      </c>
      <c r="F51" s="742"/>
      <c r="G51" s="742"/>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50.5" customHeight="1" x14ac:dyDescent="0.3">
      <c r="A53" s="524"/>
      <c r="B53" s="511"/>
      <c r="C53" s="757">
        <v>2</v>
      </c>
      <c r="D53" s="508" t="s">
        <v>132</v>
      </c>
      <c r="E53" s="742" t="str">
        <f>IF(VLOOKUP(CONCATENATE($C$2,"-",$D53),Languages!$A:$D,1,TRUE)=CONCATENATE($C$2,"-",$D53),VLOOKUP(CONCATENATE($C$2,"-",$D53),Languages!$A:$D,Kybermittari!$C$7,TRUE),NA())</f>
        <v xml:space="preserve">Avaintenhallintainfrastruktuuri (esim. avainten luonti, säilytys, tuhoaminen, päivittäminen ja kumoaminen) on määritetty ja toteutettu tiedon suojaamiseksi talletuksen ja siirron aikana. </v>
      </c>
      <c r="F53" s="742"/>
      <c r="G53" s="742"/>
      <c r="H53" s="493">
        <f>IFERROR(INT(LEFT($I53,1)),0)</f>
        <v>0</v>
      </c>
      <c r="I53" s="54"/>
      <c r="J53" s="527"/>
      <c r="K53" s="509"/>
      <c r="L53" s="483"/>
      <c r="M53" s="545"/>
      <c r="N53" s="523"/>
      <c r="O53" s="495"/>
      <c r="P53" s="495"/>
    </row>
    <row r="54" spans="1:16" s="510" customFormat="1" ht="47" customHeight="1" x14ac:dyDescent="0.3">
      <c r="A54" s="524"/>
      <c r="B54" s="511"/>
      <c r="C54" s="758"/>
      <c r="D54" s="508" t="s">
        <v>135</v>
      </c>
      <c r="E54" s="742" t="str">
        <f>IF(VLOOKUP(CONCATENATE($C$2,"-",$D54),Languages!$A:$D,1,TRUE)=CONCATENATE($C$2,"-",$D54),VLOOKUP(CONCATENATE($C$2,"-",$D54),Languages!$A:$D,Kybermittari!$C$7,TRUE),NA())</f>
        <v xml:space="preserve">Kyberarkkitehtuurin mukaiset salauksen hallintamenetelmät ja -käytännöt ("cryptographic controls") on määritetty ja toteutettu tiedon suojaamiseksi talletuksen ja siirron aikana. </v>
      </c>
      <c r="F54" s="742"/>
      <c r="G54" s="742"/>
      <c r="H54" s="493">
        <f>IFERROR(INT(LEFT($I54,1)),0)</f>
        <v>0</v>
      </c>
      <c r="I54" s="54"/>
      <c r="J54" s="527"/>
      <c r="K54" s="509"/>
      <c r="L54" s="483"/>
      <c r="M54" s="545"/>
      <c r="N54" s="523"/>
      <c r="O54" s="495"/>
      <c r="P54" s="495"/>
    </row>
    <row r="55" spans="1:16" s="510" customFormat="1" ht="60" customHeight="1" x14ac:dyDescent="0.3">
      <c r="A55" s="524"/>
      <c r="B55" s="511"/>
      <c r="C55" s="759"/>
      <c r="D55" s="508" t="s">
        <v>138</v>
      </c>
      <c r="E55" s="742" t="str">
        <f>IF(VLOOKUP(CONCATENATE($C$2,"-",$D55),Languages!$A:$D,1,TRUE)=CONCATENATE($C$2,"-",$D55),VLOOKUP(CONCATENATE($C$2,"-",$D55),Languages!$A:$D,Kybermittari!$C$7,TRUE),NA())</f>
        <v>Kyberarkkitehtuuri sisältää turvallisuusvaatimuksiin perustuvia kontrolleja (esim. tiedon häviämisen estäminen, tietojen fyysinen exfiltrointi) tiedon suojaamiseksi järjestelmien sisällä ja järjestelmien välisessä tiedon siirrossa [kts. ARCHITECTURE-1e].</v>
      </c>
      <c r="F55" s="742"/>
      <c r="G55" s="742"/>
      <c r="H55" s="493">
        <f>IFERROR(INT(LEFT($I55,1)),0)</f>
        <v>0</v>
      </c>
      <c r="I55" s="54"/>
      <c r="J55" s="527"/>
      <c r="K55" s="509"/>
      <c r="L55" s="483"/>
      <c r="M55" s="545"/>
      <c r="N55" s="523"/>
      <c r="O55" s="495"/>
      <c r="P55" s="495"/>
    </row>
    <row r="56" spans="1:16" s="510" customFormat="1" ht="10" customHeight="1" x14ac:dyDescent="0.3">
      <c r="A56" s="524"/>
      <c r="B56" s="511"/>
      <c r="C56" s="565"/>
      <c r="D56" s="513"/>
      <c r="E56" s="501"/>
      <c r="F56" s="501"/>
      <c r="G56" s="501"/>
      <c r="H56" s="499"/>
      <c r="I56" s="502"/>
      <c r="J56" s="514"/>
      <c r="K56" s="509"/>
      <c r="L56" s="483"/>
      <c r="M56" s="545"/>
      <c r="N56" s="523"/>
      <c r="O56" s="495"/>
      <c r="P56" s="495"/>
    </row>
    <row r="57" spans="1:16" s="510" customFormat="1" ht="47" customHeight="1" x14ac:dyDescent="0.3">
      <c r="A57" s="524"/>
      <c r="B57" s="511"/>
      <c r="C57" s="757">
        <v>3</v>
      </c>
      <c r="D57" s="508" t="s">
        <v>140</v>
      </c>
      <c r="E57" s="742" t="str">
        <f>IF(VLOOKUP(CONCATENATE($C$2,"-",$D57),Languages!$A:$D,1,TRUE)=CONCATENATE($C$2,"-",$D57),VLOOKUP(CONCATENATE($C$2,"-",$D57),Languages!$A:$D,Kybermittari!$C$7,TRUE),NA())</f>
        <v>Valittujen tietokategorioiden [kts. ASSET-2c] kohdalla kyberarkkitehtuuri pitää sisällään kontrollit kaiken tallennetun tiedon suojaamiseen (esim. oma konesali ja pilvipohjaiset tietovarastot ja -kannat).</v>
      </c>
      <c r="F57" s="742"/>
      <c r="G57" s="742"/>
      <c r="H57" s="493">
        <f>IFERROR(INT(LEFT($I57,1)),0)</f>
        <v>0</v>
      </c>
      <c r="I57" s="54"/>
      <c r="J57" s="527"/>
      <c r="K57" s="509"/>
      <c r="L57" s="524"/>
      <c r="M57" s="545"/>
      <c r="N57" s="524"/>
      <c r="O57" s="495"/>
      <c r="P57" s="495"/>
    </row>
    <row r="58" spans="1:16" s="510" customFormat="1" ht="60" customHeight="1" x14ac:dyDescent="0.3">
      <c r="A58" s="524"/>
      <c r="B58" s="511"/>
      <c r="C58" s="758"/>
      <c r="D58" s="508" t="s">
        <v>255</v>
      </c>
      <c r="E58" s="742" t="str">
        <f>IF(VLOOKUP(CONCATENATE($C$2,"-",$D58),Languages!$A:$D,1,TRUE)=CONCATENATE($C$2,"-",$D58),VLOOKUP(CONCATENATE($C$2,"-",$D58),Languages!$A:$D,Kybermittari!$C$7,TRUE),NA())</f>
        <v>Valittujen tietokategorioiden kohdalla [kts. ASSET-2c] kyberarkkitehtuuri pitää sisällään suojausmenetelmät kaikelle siirrossa olevalle tiedolle (esim. sisäverkossa, verkkojen välisillä rajoilla ja ulkoisessa liikenteessä kuten pilviratkaisuissa).</v>
      </c>
      <c r="F58" s="742"/>
      <c r="G58" s="742"/>
      <c r="H58" s="493">
        <f>IFERROR(INT(LEFT($I58,1)),0)</f>
        <v>0</v>
      </c>
      <c r="I58" s="54"/>
      <c r="J58" s="527"/>
      <c r="K58" s="509"/>
      <c r="L58" s="524"/>
      <c r="M58" s="545"/>
      <c r="N58" s="524"/>
      <c r="O58" s="495"/>
      <c r="P58" s="495"/>
    </row>
    <row r="59" spans="1:16" s="510" customFormat="1" ht="47.5" customHeight="1" x14ac:dyDescent="0.3">
      <c r="A59" s="524"/>
      <c r="B59" s="511"/>
      <c r="C59" s="758"/>
      <c r="D59" s="508" t="s">
        <v>373</v>
      </c>
      <c r="E59" s="742" t="str">
        <f>IF(VLOOKUP(CONCATENATE($C$2,"-",$D59),Languages!$A:$D,1,TRUE)=CONCATENATE($C$2,"-",$D59),VLOOKUP(CONCATENATE($C$2,"-",$D59),Languages!$A:$D,Kybermittari!$C$7,TRUE),NA())</f>
        <v>Tietojen suojausta testataan (esim. kontrollien katselmoinnit) organisaation määrittelemien kriteereiden mukaisesti (esim. toteuttamisesta kulunut aika, muutokset järjestelmäarkkitehtuurissa tai muutokset uhkaympäristössä).</v>
      </c>
      <c r="F59" s="742"/>
      <c r="G59" s="742"/>
      <c r="H59" s="493">
        <f>IFERROR(INT(LEFT($I59,1)),0)</f>
        <v>0</v>
      </c>
      <c r="I59" s="54"/>
      <c r="J59" s="527"/>
      <c r="K59" s="509"/>
      <c r="L59" s="524"/>
      <c r="M59" s="545"/>
      <c r="N59" s="524"/>
      <c r="O59" s="495"/>
      <c r="P59" s="495"/>
    </row>
    <row r="60" spans="1:16" s="510" customFormat="1" ht="47.5" customHeight="1" x14ac:dyDescent="0.3">
      <c r="A60" s="524"/>
      <c r="B60" s="511"/>
      <c r="C60" s="759"/>
      <c r="D60" s="508" t="s">
        <v>375</v>
      </c>
      <c r="E60" s="742" t="str">
        <f>IF(VLOOKUP(CONCATENATE($C$2,"-",$D60),Languages!$A:$D,1,TRUE)=CONCATENATE($C$2,"-",$D60),VLOOKUP(CONCATENATE($C$2,"-",$D60),Languages!$A:$D,Kybermittari!$C$7,TRUE),NA())</f>
        <v>Kyberarkkitehtuuri kattaa suojausmenetelmät sovellusten, laiteohjelmistojen ja tiedon luvattomien muutosten varalle (virheet tai tahallinen toiminta).</v>
      </c>
      <c r="F60" s="742"/>
      <c r="G60" s="742"/>
      <c r="H60" s="493">
        <f>IFERROR(INT(LEFT($I60,1)),0)</f>
        <v>0</v>
      </c>
      <c r="I60" s="54"/>
      <c r="J60" s="527"/>
      <c r="K60" s="509"/>
      <c r="L60" s="524"/>
      <c r="M60" s="545"/>
      <c r="N60" s="524"/>
      <c r="O60" s="495"/>
      <c r="P60" s="495"/>
    </row>
    <row r="61" spans="1:16" s="343" customFormat="1" ht="30" customHeight="1" x14ac:dyDescent="0.25">
      <c r="A61" s="332"/>
      <c r="B61" s="461"/>
      <c r="C61" s="336">
        <v>5</v>
      </c>
      <c r="D61" s="336" t="str">
        <f>IF(VLOOKUP(CONCATENATE($C$2,"-",C61),Languages!$A:$D,1,TRUE)=CONCATENATE($C$2,"-",C61),VLOOKUP(CONCATENATE($C$2,"-",C61),Languages!$A:$D,Kybermittari!$C$7,TRUE),NA())</f>
        <v>Yleisiä hallintatoimia</v>
      </c>
      <c r="E61" s="336"/>
      <c r="F61" s="506"/>
      <c r="G61" s="506"/>
      <c r="H61" s="506"/>
      <c r="I61" s="506" t="s">
        <v>19</v>
      </c>
      <c r="J61" s="507"/>
      <c r="K61" s="339"/>
      <c r="L61" s="347"/>
      <c r="M61" s="533"/>
      <c r="N61" s="347"/>
      <c r="O61" s="341"/>
      <c r="P61" s="341"/>
    </row>
    <row r="62" spans="1:16" s="475" customFormat="1" ht="48" customHeight="1" x14ac:dyDescent="0.3">
      <c r="A62" s="524"/>
      <c r="B62" s="525"/>
      <c r="C62" s="745" t="str">
        <f>IF(VLOOKUP(CONCATENATE($C$2,"-",$C61,"-0"),Languages!$A:$D,1,TRUE)=CONCATENATE($C$2,"-",$C61,"-0"),VLOOKUP(CONCATENATE($C$2,"-",$C61,"-0"),Languages!$A:$D,Kybermittari!$C$7,TRUE),NA())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2" s="745"/>
      <c r="E62" s="745"/>
      <c r="F62" s="745"/>
      <c r="G62" s="745"/>
      <c r="H62" s="745"/>
      <c r="I62" s="745"/>
      <c r="J62" s="745"/>
      <c r="K62" s="471"/>
      <c r="L62" s="524"/>
      <c r="M62" s="545"/>
      <c r="N62" s="524"/>
      <c r="O62" s="473"/>
      <c r="P62" s="473"/>
    </row>
    <row r="63" spans="1:16" s="547" customFormat="1" ht="20" customHeight="1" x14ac:dyDescent="0.3">
      <c r="A63" s="483"/>
      <c r="B63" s="476"/>
      <c r="C63" s="477" t="str">
        <f>IF(VLOOKUP("GEN-LEVEL",Languages!$A:$D,1,TRUE)="GEN-LEVEL",VLOOKUP("GEN-LEVEL",Languages!$A:$D,Kybermittari!$C$7,TRUE),NA())</f>
        <v>Taso</v>
      </c>
      <c r="D63" s="477"/>
      <c r="E63" s="478" t="str">
        <f>IF(VLOOKUP("GEN-PRACTICE",Languages!$A:$D,1,TRUE)="GEN-PRACTICE",VLOOKUP("GEN-PRACTICE",Languages!$A:$D,Kybermittari!$C$7,TRUE),NA())</f>
        <v>Käytäntö</v>
      </c>
      <c r="F63" s="479"/>
      <c r="G63" s="480"/>
      <c r="H63" s="481"/>
      <c r="I63" s="478" t="str">
        <f>IF(VLOOKUP("GEN-ANSWER",Languages!$A:$D,1,TRUE)="GEN-ANSWER",VLOOKUP("GEN-ANSWER",Languages!$A:$D,Kybermittari!$C$7,TRUE),NA())</f>
        <v>Vastaus</v>
      </c>
      <c r="J63" s="480" t="str">
        <f>IF(VLOOKUP("GEN-COMMENT",Languages!$A:$D,1,TRUE)="GEN-COMMENT",VLOOKUP("GEN-COMMENT",Languages!$A:$D,Kybermittari!$C$7,TRUE),NA())</f>
        <v>Kommentti ja viittaukset</v>
      </c>
      <c r="K63" s="482"/>
      <c r="L63" s="524"/>
      <c r="M63" s="545"/>
      <c r="N63" s="524"/>
      <c r="O63" s="546"/>
      <c r="P63" s="546"/>
    </row>
    <row r="64" spans="1:16" s="547" customFormat="1" ht="10" customHeight="1" x14ac:dyDescent="0.3">
      <c r="A64" s="483"/>
      <c r="B64" s="476"/>
      <c r="C64" s="487"/>
      <c r="D64" s="487"/>
      <c r="E64" s="488"/>
      <c r="F64" s="489"/>
      <c r="G64" s="490"/>
      <c r="H64" s="491"/>
      <c r="I64" s="488"/>
      <c r="J64" s="490"/>
      <c r="K64" s="482"/>
      <c r="L64" s="524"/>
      <c r="M64" s="545"/>
      <c r="N64" s="524"/>
      <c r="O64" s="546"/>
      <c r="P64" s="546"/>
    </row>
    <row r="65" spans="1:16" s="547" customFormat="1" ht="20" customHeight="1" x14ac:dyDescent="0.3">
      <c r="A65" s="483"/>
      <c r="B65" s="476"/>
      <c r="C65" s="557">
        <v>1</v>
      </c>
      <c r="D65" s="558"/>
      <c r="E65" s="559"/>
      <c r="F65" s="560"/>
      <c r="G65" s="561"/>
      <c r="H65" s="562"/>
      <c r="I65" s="559"/>
      <c r="J65" s="563"/>
      <c r="K65" s="482"/>
      <c r="L65" s="524"/>
      <c r="M65" s="545"/>
      <c r="N65" s="524"/>
      <c r="O65" s="546"/>
      <c r="P65" s="546"/>
    </row>
    <row r="66" spans="1:16" s="547" customFormat="1" ht="10" customHeight="1" x14ac:dyDescent="0.3">
      <c r="A66" s="483"/>
      <c r="B66" s="476"/>
      <c r="C66" s="487"/>
      <c r="D66" s="487"/>
      <c r="E66" s="488"/>
      <c r="F66" s="489"/>
      <c r="G66" s="490"/>
      <c r="H66" s="491"/>
      <c r="I66" s="488"/>
      <c r="J66" s="490"/>
      <c r="K66" s="482"/>
      <c r="L66" s="524"/>
      <c r="M66" s="545"/>
      <c r="N66" s="524"/>
      <c r="O66" s="546"/>
      <c r="P66" s="546"/>
    </row>
    <row r="67" spans="1:16" s="510" customFormat="1" ht="35" customHeight="1" x14ac:dyDescent="0.3">
      <c r="A67" s="524"/>
      <c r="B67" s="741"/>
      <c r="C67" s="757">
        <v>2</v>
      </c>
      <c r="D67" s="508" t="s">
        <v>143</v>
      </c>
      <c r="E67" s="742" t="str">
        <f>IF(VLOOKUP(CONCATENATE($C$2,"-",$D67),Languages!$A:$D,1,TRUE)=CONCATENATE($C$2,"-",$D67),VLOOKUP(CONCATENATE($C$2,"-",$D67),Languages!$A:$D,Kybermittari!$C$7,TRUE),NA())</f>
        <v>Kyberturvallisuusarkkitehtuurin (ARCHITECTURE) osioon liittyen on määritetty dokumentoidut käytännöt, joita noudatetaan ja pidetään yllä.</v>
      </c>
      <c r="F67" s="742"/>
      <c r="G67" s="742"/>
      <c r="H67" s="493">
        <f>IFERROR(INT(LEFT($I67,1)),0)</f>
        <v>0</v>
      </c>
      <c r="I67" s="54"/>
      <c r="J67" s="527"/>
      <c r="K67" s="509"/>
      <c r="L67" s="524"/>
      <c r="M67" s="545"/>
      <c r="N67" s="524"/>
      <c r="O67" s="495"/>
      <c r="P67" s="495"/>
    </row>
    <row r="68" spans="1:16" s="510" customFormat="1" ht="35" customHeight="1" x14ac:dyDescent="0.3">
      <c r="A68" s="524"/>
      <c r="B68" s="741"/>
      <c r="C68" s="758"/>
      <c r="D68" s="508" t="s">
        <v>146</v>
      </c>
      <c r="E68" s="742" t="str">
        <f>IF(VLOOKUP(CONCATENATE($C$2,"-",$D68),Languages!$A:$D,1,TRUE)=CONCATENATE($C$2,"-",$D68),VLOOKUP(CONCATENATE($C$2,"-",$D68),Languages!$A:$D,Kybermittari!$C$7,TRUE),NA())</f>
        <v>Kyberturvallisuusarkkitehtuurin (ARCHITECTURE) osion toimintaan on saatavilla riittävät resurssit (henkilöstö, rahoitus ja työkalut).</v>
      </c>
      <c r="F68" s="742"/>
      <c r="G68" s="742"/>
      <c r="H68" s="493">
        <f>IFERROR(INT(LEFT($I68,1)),0)</f>
        <v>0</v>
      </c>
      <c r="I68" s="54"/>
      <c r="J68" s="527"/>
      <c r="K68" s="509"/>
      <c r="L68" s="524"/>
      <c r="M68" s="545"/>
      <c r="N68" s="524"/>
      <c r="O68" s="495"/>
      <c r="P68" s="495"/>
    </row>
    <row r="69" spans="1:16" s="510" customFormat="1" ht="35" customHeight="1" x14ac:dyDescent="0.25">
      <c r="A69" s="524"/>
      <c r="B69" s="741"/>
      <c r="C69" s="758"/>
      <c r="D69" s="508" t="s">
        <v>149</v>
      </c>
      <c r="E69" s="742" t="str">
        <f>IF(VLOOKUP(CONCATENATE($C$2,"-",$D69),Languages!$A:$D,1,TRUE)=CONCATENATE($C$2,"-",$D69),VLOOKUP(CONCATENATE($C$2,"-",$D69),Languages!$A:$D,Kybermittari!$C$7,TRUE),NA())</f>
        <v>Kyberturvallisuusarkkitehtuurin (ARCHITECTURE) osion toimintaa suorittavilla työntekijöillä on riittävät tiedot ja taidot tehtäviensä suorittamiseen.</v>
      </c>
      <c r="F69" s="742"/>
      <c r="G69" s="742"/>
      <c r="H69" s="493">
        <f>IFERROR(INT(LEFT($I69,1)),0)</f>
        <v>0</v>
      </c>
      <c r="I69" s="54"/>
      <c r="J69" s="527"/>
      <c r="K69" s="509"/>
      <c r="L69" s="524"/>
      <c r="M69" s="637"/>
      <c r="N69" s="524"/>
      <c r="O69" s="495"/>
      <c r="P69" s="495"/>
    </row>
    <row r="70" spans="1:16" s="510" customFormat="1" ht="47" customHeight="1" x14ac:dyDescent="0.25">
      <c r="A70" s="524"/>
      <c r="B70" s="741"/>
      <c r="C70" s="759"/>
      <c r="D70" s="508" t="s">
        <v>152</v>
      </c>
      <c r="E70" s="742" t="str">
        <f>IF(VLOOKUP(CONCATENATE($C$2,"-",$D70),Languages!$A:$D,1,TRUE)=CONCATENATE($C$2,"-",$D70),VLOOKUP(CONCATENATE($C$2,"-",$D70),Languages!$A:$D,Kybermittari!$C$7,TRUE),NA())</f>
        <v>Kyberturvallisuusarkkitehtuurin (ARCHITECTURE) osion toiminnan suorittamiseen liittyvät vastuut ja valtuudet on osoitettu nimetyille työntekijöille.</v>
      </c>
      <c r="F70" s="742"/>
      <c r="G70" s="742"/>
      <c r="H70" s="493">
        <f>IFERROR(INT(LEFT($I70,1)),0)</f>
        <v>0</v>
      </c>
      <c r="I70" s="54"/>
      <c r="J70" s="527"/>
      <c r="K70" s="509"/>
      <c r="L70" s="524"/>
      <c r="M70" s="637"/>
      <c r="N70" s="524"/>
      <c r="O70" s="495"/>
      <c r="P70" s="495"/>
    </row>
    <row r="71" spans="1:16" s="510" customFormat="1" ht="10" customHeight="1" x14ac:dyDescent="0.25">
      <c r="A71" s="524"/>
      <c r="B71" s="511"/>
      <c r="C71" s="565"/>
      <c r="D71" s="513"/>
      <c r="E71" s="501"/>
      <c r="F71" s="501"/>
      <c r="G71" s="501"/>
      <c r="H71" s="499"/>
      <c r="I71" s="502"/>
      <c r="J71" s="514"/>
      <c r="K71" s="509"/>
      <c r="L71" s="524"/>
      <c r="M71" s="637"/>
      <c r="N71" s="524"/>
      <c r="O71" s="495"/>
      <c r="P71" s="495"/>
    </row>
    <row r="72" spans="1:16" s="510" customFormat="1" ht="60" customHeight="1" x14ac:dyDescent="0.25">
      <c r="A72" s="524"/>
      <c r="B72" s="741"/>
      <c r="C72" s="757">
        <v>3</v>
      </c>
      <c r="D72" s="508" t="s">
        <v>154</v>
      </c>
      <c r="E72" s="742" t="str">
        <f>IF(VLOOKUP(CONCATENATE($C$2,"-",$D72),Languages!$A:$D,1,TRUE)=CONCATENATE($C$2,"-",$D72),VLOOKUP(CONCATENATE($C$2,"-",$D72),Languages!$A:$D,Kybermittari!$C$7,TRUE),NA())</f>
        <v>Kyberturvallisuusarkkitehtuurin (ARCHITECTURE) osion toiminta perustuu organisaation määrittämään ja ylläpitämään johtotason politiikkaan (tai vastaavaan ohjeistukseen), jossa asetetaan nimenomaisia vaatimuksia tämän osion toiminnalle.</v>
      </c>
      <c r="F72" s="742"/>
      <c r="G72" s="742"/>
      <c r="H72" s="493">
        <f>IFERROR(INT(LEFT($I72,1)),0)</f>
        <v>0</v>
      </c>
      <c r="I72" s="54"/>
      <c r="J72" s="527"/>
      <c r="K72" s="509"/>
      <c r="L72" s="524"/>
      <c r="M72" s="637"/>
      <c r="N72" s="524"/>
      <c r="O72" s="495"/>
      <c r="P72" s="495"/>
    </row>
    <row r="73" spans="1:16" s="510" customFormat="1" ht="47.5" customHeight="1" x14ac:dyDescent="0.25">
      <c r="A73" s="524"/>
      <c r="B73" s="741"/>
      <c r="C73" s="758"/>
      <c r="D73" s="508" t="s">
        <v>156</v>
      </c>
      <c r="E73" s="742" t="str">
        <f>IF(VLOOKUP(CONCATENATE($C$2,"-",$D73),Languages!$A:$D,1,TRUE)=CONCATENATE($C$2,"-",$D73),VLOOKUP(CONCATENATE($C$2,"-",$D73),Languages!$A:$D,Kybermittari!$C$7,TRUE),NA())</f>
        <v>Kyberturvallisuusarkkitehtuurin (ARCHITECTURE) osion toiminnalle on määritetty suoriutumistavoitteet, joiden toteutumista seurataan [kts. PROGRAM-1b].</v>
      </c>
      <c r="F73" s="742"/>
      <c r="G73" s="742"/>
      <c r="H73" s="493">
        <f>IFERROR(INT(LEFT($I73,1)),0)</f>
        <v>0</v>
      </c>
      <c r="I73" s="54"/>
      <c r="J73" s="527"/>
      <c r="K73" s="509"/>
      <c r="L73" s="524"/>
      <c r="M73" s="637"/>
      <c r="N73" s="524"/>
      <c r="O73" s="495"/>
      <c r="P73" s="495"/>
    </row>
    <row r="74" spans="1:16" s="510" customFormat="1" ht="35" customHeight="1" x14ac:dyDescent="0.25">
      <c r="A74" s="524"/>
      <c r="B74" s="741"/>
      <c r="C74" s="759"/>
      <c r="D74" s="508" t="s">
        <v>159</v>
      </c>
      <c r="E74" s="742" t="str">
        <f>IF(VLOOKUP(CONCATENATE($C$2,"-",$D74),Languages!$A:$D,1,TRUE)=CONCATENATE($C$2,"-",$D74),VLOOKUP(CONCATENATE($C$2,"-",$D74),Languages!$A:$D,Kybermittari!$C$7,TRUE),NA())</f>
        <v>Kyberturvallisuusarkkitehtuurin (ARCHITECTURE) osioon liittyvät käytännöt on standardoitu läpi koko organisaation ja niitä kehitetään aktiivisesti.</v>
      </c>
      <c r="F74" s="742"/>
      <c r="G74" s="742"/>
      <c r="H74" s="493">
        <f>IFERROR(INT(LEFT($I74,1)),0)</f>
        <v>0</v>
      </c>
      <c r="I74" s="54"/>
      <c r="J74" s="527"/>
      <c r="K74" s="509"/>
      <c r="L74" s="524"/>
      <c r="M74" s="637"/>
      <c r="N74" s="524"/>
      <c r="O74" s="495"/>
      <c r="P74" s="495"/>
    </row>
    <row r="75" spans="1:16" x14ac:dyDescent="0.25">
      <c r="A75" s="347"/>
      <c r="B75" s="619"/>
      <c r="C75" s="620"/>
      <c r="D75" s="621"/>
      <c r="E75" s="622"/>
      <c r="F75" s="622"/>
      <c r="G75" s="622"/>
      <c r="H75" s="623"/>
      <c r="I75" s="624"/>
      <c r="J75" s="625"/>
      <c r="K75" s="626"/>
      <c r="L75" s="347"/>
      <c r="M75" s="638"/>
      <c r="N75" s="347"/>
    </row>
    <row r="76" spans="1:16" x14ac:dyDescent="0.25">
      <c r="A76" s="347"/>
      <c r="B76" s="347"/>
      <c r="C76" s="347"/>
      <c r="D76" s="347"/>
      <c r="E76" s="347"/>
      <c r="F76" s="347"/>
      <c r="G76" s="347"/>
      <c r="H76" s="627"/>
      <c r="I76" s="347"/>
      <c r="J76" s="347"/>
      <c r="K76" s="347"/>
      <c r="L76" s="347"/>
      <c r="M76" s="638"/>
      <c r="N76" s="347"/>
    </row>
  </sheetData>
  <sheetProtection sheet="1" objects="1" scenarios="1"/>
  <mergeCells count="52">
    <mergeCell ref="C5:J5"/>
    <mergeCell ref="C67:C70"/>
    <mergeCell ref="C72:C74"/>
    <mergeCell ref="E54:G54"/>
    <mergeCell ref="E55:G55"/>
    <mergeCell ref="E57:G57"/>
    <mergeCell ref="E58:G58"/>
    <mergeCell ref="E59:G59"/>
    <mergeCell ref="E73:G73"/>
    <mergeCell ref="E74:G74"/>
    <mergeCell ref="C17:C21"/>
    <mergeCell ref="C23:C25"/>
    <mergeCell ref="E24:G24"/>
    <mergeCell ref="C44:C45"/>
    <mergeCell ref="C47:J47"/>
    <mergeCell ref="C50:C51"/>
    <mergeCell ref="B72:B74"/>
    <mergeCell ref="E72:G72"/>
    <mergeCell ref="E42:G42"/>
    <mergeCell ref="E44:G44"/>
    <mergeCell ref="E45:G45"/>
    <mergeCell ref="E50:G50"/>
    <mergeCell ref="E51:G51"/>
    <mergeCell ref="E53:G53"/>
    <mergeCell ref="C62:J62"/>
    <mergeCell ref="B67:B70"/>
    <mergeCell ref="E67:G67"/>
    <mergeCell ref="E68:G68"/>
    <mergeCell ref="E69:G69"/>
    <mergeCell ref="E70:G70"/>
    <mergeCell ref="E34:G34"/>
    <mergeCell ref="C36:J36"/>
    <mergeCell ref="C41:C42"/>
    <mergeCell ref="E41:G41"/>
    <mergeCell ref="E60:G60"/>
    <mergeCell ref="C53:C55"/>
    <mergeCell ref="C57:C60"/>
    <mergeCell ref="E23:G23"/>
    <mergeCell ref="E25:G25"/>
    <mergeCell ref="C27:J27"/>
    <mergeCell ref="B30:B32"/>
    <mergeCell ref="E30:G30"/>
    <mergeCell ref="E32:G32"/>
    <mergeCell ref="C12:J12"/>
    <mergeCell ref="B15:B17"/>
    <mergeCell ref="E15:G15"/>
    <mergeCell ref="E17:G17"/>
    <mergeCell ref="B18:B21"/>
    <mergeCell ref="E18:G18"/>
    <mergeCell ref="E19:G19"/>
    <mergeCell ref="E20:G20"/>
    <mergeCell ref="E21:G21"/>
  </mergeCells>
  <conditionalFormatting sqref="H39">
    <cfRule type="containsText" dxfId="51" priority="7" operator="containsText" text="0">
      <formula>NOT(ISERROR(SEARCH("0",H39)))</formula>
    </cfRule>
  </conditionalFormatting>
  <conditionalFormatting sqref="H65">
    <cfRule type="containsText" dxfId="50" priority="5" operator="containsText" text="0">
      <formula>NOT(ISERROR(SEARCH("0",H65)))</formula>
    </cfRule>
  </conditionalFormatting>
  <conditionalFormatting sqref="H1:H1048576">
    <cfRule type="containsText" dxfId="49"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5C13AFD3-A630-46A0-95B7-BDFB8A5E83D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H39</xm:sqref>
        </x14:conditionalFormatting>
        <x14:conditionalFormatting xmlns:xm="http://schemas.microsoft.com/office/excel/2006/main">
          <x14:cfRule type="iconSet" priority="6" id="{44C2085E-4B36-4C31-A417-CA66B0FD0C8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H65</xm:sqref>
        </x14:conditionalFormatting>
        <x14:conditionalFormatting xmlns:xm="http://schemas.microsoft.com/office/excel/2006/main">
          <x14:cfRule type="iconSet" priority="4" id="{7C426902-0367-45AC-A385-4DC12FC24B6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I17:I21 I67:I70 I72:I74 I57:I60 I53:I55 I50:I51 I44:I45 I41:I42 I34 I32 I30 I23:I25 I15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76"/>
  <sheetViews>
    <sheetView showGridLines="0" zoomScaleNormal="100" workbookViewId="0">
      <selection activeCell="I14" sqref="I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534"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639"/>
      <c r="K1" s="344"/>
      <c r="L1" s="344"/>
      <c r="M1" s="588"/>
      <c r="N1" s="344"/>
    </row>
    <row r="2" spans="1:16" s="343" customFormat="1" ht="25" customHeight="1" x14ac:dyDescent="0.25">
      <c r="A2" s="332"/>
      <c r="B2" s="589"/>
      <c r="C2" s="590" t="s">
        <v>85</v>
      </c>
      <c r="D2" s="591"/>
      <c r="E2" s="592"/>
      <c r="F2" s="592"/>
      <c r="G2" s="592"/>
      <c r="H2" s="593"/>
      <c r="I2" s="592"/>
      <c r="J2" s="592"/>
      <c r="K2" s="595"/>
      <c r="L2" s="332"/>
      <c r="M2" s="533"/>
      <c r="N2" s="332"/>
      <c r="O2" s="341"/>
      <c r="P2" s="341"/>
    </row>
    <row r="3" spans="1:16" s="598" customFormat="1" ht="25" customHeight="1" x14ac:dyDescent="0.35">
      <c r="A3" s="596"/>
      <c r="B3" s="597"/>
      <c r="C3" s="321" t="str">
        <f>IF(VLOOKUP($C$2,Languages!$A:$D,1,TRUE)=$C$2,VLOOKUP($C$2,Languages!$A:$D,Kybermittari!$C$7,TRUE),NA())</f>
        <v>Kyberturvallisuusohjelma</v>
      </c>
      <c r="D3" s="449"/>
      <c r="E3" s="450"/>
      <c r="G3" s="599"/>
      <c r="H3" s="600"/>
      <c r="I3" s="640"/>
      <c r="J3" s="640"/>
      <c r="K3" s="602"/>
      <c r="L3" s="596"/>
      <c r="M3" s="603"/>
      <c r="N3" s="596"/>
      <c r="O3" s="604"/>
      <c r="P3" s="604"/>
    </row>
    <row r="4" spans="1:16" ht="10" customHeight="1" x14ac:dyDescent="0.25">
      <c r="A4" s="344"/>
      <c r="B4" s="532"/>
      <c r="C4" s="605"/>
      <c r="D4" s="606"/>
      <c r="E4" s="606"/>
      <c r="F4" s="606"/>
      <c r="G4" s="606"/>
      <c r="H4" s="452"/>
      <c r="I4" s="452"/>
      <c r="J4" s="641"/>
      <c r="K4" s="356"/>
      <c r="L4" s="344"/>
      <c r="M4" s="533"/>
      <c r="N4" s="344"/>
    </row>
    <row r="5" spans="1:16" ht="60" customHeight="1" x14ac:dyDescent="0.25">
      <c r="A5" s="344"/>
      <c r="B5" s="532"/>
      <c r="C5" s="750" t="str">
        <f>IF(VLOOKUP(CONCATENATE(C2,"-0"),Languages!$A:$D,1,TRUE)=CONCATENATE(C2,"-0"),VLOOKUP(CONCATENATE(C2,"-0"),Languages!$A:$D,Kybermittari!$C$7,TRUE),NA())</f>
        <v>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Kyberturvallisuusstrategia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Johdon tuki kyberturvallisuusohjelmalle</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Kyberturvallisuus osana jatkuvuussuunnittelua</v>
      </c>
      <c r="F8" s="607"/>
      <c r="G8" s="386"/>
      <c r="H8" s="610"/>
      <c r="I8" s="459" t="str">
        <f ca="1">VLOOKUP(VLOOKUP(CONCATENATE($C$2,"-",$C8),Data!$K:$O,5,FALSE),Parameters!$C$7:$F$10,Kybermittari!$C$7,FALSE)</f>
        <v>Kypsyystaso 0</v>
      </c>
      <c r="J8" s="642"/>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42"/>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Kyberturvallisuusstrategia</v>
      </c>
      <c r="E10" s="336"/>
      <c r="F10" s="463"/>
      <c r="G10" s="463"/>
      <c r="H10" s="464"/>
      <c r="I10" s="464"/>
      <c r="J10" s="464"/>
      <c r="K10" s="466"/>
      <c r="L10" s="467"/>
      <c r="M10" s="533"/>
      <c r="N10" s="332"/>
      <c r="O10" s="341"/>
      <c r="P10" s="341"/>
    </row>
    <row r="11" spans="1:16" s="475" customFormat="1" ht="60" customHeight="1" x14ac:dyDescent="0.3">
      <c r="A11" s="469"/>
      <c r="B11" s="470"/>
      <c r="C11" s="745" t="str">
        <f>IF(VLOOKUP(CONCATENATE($C$2,"-",$C10,"-0"),Languages!$A:$D,1,TRUE)=CONCATENATE($C$2,"-",$C10,"-0"),VLOOKUP(CONCATENATE($C$2,"-",$C10,"-0"),Languages!$A:$D,Kybermittari!$C$7,TRUE),NA())</f>
        <v>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v>
      </c>
      <c r="D11" s="745"/>
      <c r="E11" s="745"/>
      <c r="F11" s="745"/>
      <c r="G11" s="745"/>
      <c r="H11" s="745"/>
      <c r="I11" s="745"/>
      <c r="J11" s="745"/>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77"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87"/>
      <c r="K13" s="482"/>
      <c r="L13" s="483"/>
      <c r="M13" s="545"/>
      <c r="N13" s="483"/>
      <c r="O13" s="546"/>
      <c r="P13" s="546"/>
    </row>
    <row r="14" spans="1:16" s="495" customFormat="1" ht="35" customHeight="1" x14ac:dyDescent="0.3">
      <c r="A14" s="469"/>
      <c r="B14" s="749"/>
      <c r="C14" s="635">
        <v>1</v>
      </c>
      <c r="D14" s="492" t="s">
        <v>7</v>
      </c>
      <c r="E14" s="742" t="str">
        <f>IF(VLOOKUP(CONCATENATE($C$2,"-",$D14),Languages!$A:$D,1,TRUE)=CONCATENATE($C$2,"-",$D14),VLOOKUP(CONCATENATE($C$2,"-",$D14),Languages!$A:$D,Kybermittari!$C$7,TRUE),NA())</f>
        <v>Organisaatiolla on kyberturvallisuusstrategia - vaikka sitä ei välttämättä kehitetä tai hallita systemaattisesti.</v>
      </c>
      <c r="F14" s="742"/>
      <c r="G14" s="742"/>
      <c r="H14" s="493">
        <f t="shared" ref="H14" si="0">IFERROR(INT(LEFT($I14,1)),0)</f>
        <v>0</v>
      </c>
      <c r="I14" s="54"/>
      <c r="J14" s="649"/>
      <c r="K14" s="494"/>
      <c r="L14" s="483"/>
      <c r="M14" s="545"/>
      <c r="N14" s="483"/>
    </row>
    <row r="15" spans="1:16" s="495" customFormat="1" ht="10" customHeight="1" x14ac:dyDescent="0.3">
      <c r="A15" s="469"/>
      <c r="B15" s="749"/>
      <c r="C15" s="498"/>
      <c r="D15" s="499"/>
      <c r="E15" s="501"/>
      <c r="F15" s="501"/>
      <c r="G15" s="501"/>
      <c r="H15" s="499"/>
      <c r="I15" s="502"/>
      <c r="J15" s="643"/>
      <c r="K15" s="494"/>
      <c r="L15" s="483"/>
      <c r="M15" s="545"/>
      <c r="N15" s="483"/>
    </row>
    <row r="16" spans="1:16" s="495" customFormat="1" ht="35" customHeight="1" x14ac:dyDescent="0.3">
      <c r="A16" s="469"/>
      <c r="B16" s="749"/>
      <c r="C16" s="751">
        <v>2</v>
      </c>
      <c r="D16" s="492" t="s">
        <v>9</v>
      </c>
      <c r="E16" s="742" t="str">
        <f>IF(VLOOKUP(CONCATENATE($C$2,"-",$D16),Languages!$A:$D,1,TRUE)=CONCATENATE($C$2,"-",$D16),VLOOKUP(CONCATENATE($C$2,"-",$D16),Languages!$A:$D,Kybermittari!$C$7,TRUE),NA())</f>
        <v>Kyberturvallisuusstrategia määrittelee organisaation kyberturvallisuustavoitteet.</v>
      </c>
      <c r="F16" s="742"/>
      <c r="G16" s="742"/>
      <c r="H16" s="493">
        <f t="shared" ref="H16:H21" si="1">IFERROR(INT(LEFT($I16,1)),0)</f>
        <v>0</v>
      </c>
      <c r="I16" s="54"/>
      <c r="J16" s="649"/>
      <c r="K16" s="494"/>
      <c r="L16" s="469"/>
      <c r="M16" s="545"/>
      <c r="N16" s="469"/>
    </row>
    <row r="17" spans="1:16" s="495" customFormat="1" ht="46.5" customHeight="1" x14ac:dyDescent="0.3">
      <c r="A17" s="469"/>
      <c r="B17" s="749"/>
      <c r="C17" s="752"/>
      <c r="D17" s="492" t="s">
        <v>10</v>
      </c>
      <c r="E17" s="742" t="str">
        <f>IF(VLOOKUP(CONCATENATE($C$2,"-",$D17),Languages!$A:$D,1,TRUE)=CONCATENATE($C$2,"-",$D17),VLOOKUP(CONCATENATE($C$2,"-",$D17),Languages!$A:$D,Kybermittari!$C$7,TRUE),NA())</f>
        <v>Kyberturvallisuusstrategia ja sen prioriteetit on dokumentoitu. Strategia ja prioriteetit heijastavat organisaation yleisiä strategisia tavoitteita ja kriittiseen infrastruktuuriin kohdistuvia riskejä.</v>
      </c>
      <c r="F17" s="742"/>
      <c r="G17" s="742"/>
      <c r="H17" s="493">
        <f t="shared" si="1"/>
        <v>0</v>
      </c>
      <c r="I17" s="54"/>
      <c r="J17" s="649"/>
      <c r="K17" s="494"/>
      <c r="L17" s="469"/>
      <c r="M17" s="545"/>
      <c r="N17" s="469"/>
    </row>
    <row r="18" spans="1:16" s="495" customFormat="1" ht="46" customHeight="1" x14ac:dyDescent="0.3">
      <c r="A18" s="469"/>
      <c r="B18" s="749"/>
      <c r="C18" s="752"/>
      <c r="D18" s="492" t="s">
        <v>11</v>
      </c>
      <c r="E18" s="748" t="str">
        <f>IF(VLOOKUP(CONCATENATE($C$2,"-",$D18),Languages!$A:$D,1,TRUE)=CONCATENATE($C$2,"-",$D18),VLOOKUP(CONCATENATE($C$2,"-",$D18),Languages!$A:$D,Kybermittari!$C$7,TRUE),NA())</f>
        <v>Kyberturvallisuustrategia määrittää organisaation kyberturvallisuusohjelman hallintamallin ("governance") ja valvontatoimet.</v>
      </c>
      <c r="F18" s="748"/>
      <c r="G18" s="748"/>
      <c r="H18" s="493">
        <f t="shared" si="1"/>
        <v>0</v>
      </c>
      <c r="I18" s="54"/>
      <c r="J18" s="649"/>
      <c r="K18" s="494"/>
      <c r="L18" s="549"/>
      <c r="M18" s="545"/>
      <c r="N18" s="549"/>
    </row>
    <row r="19" spans="1:16" s="495" customFormat="1" ht="35" customHeight="1" x14ac:dyDescent="0.3">
      <c r="A19" s="469"/>
      <c r="B19" s="749"/>
      <c r="C19" s="752"/>
      <c r="D19" s="503" t="s">
        <v>12</v>
      </c>
      <c r="E19" s="748" t="str">
        <f>IF(VLOOKUP(CONCATENATE($C$2,"-",$D19),Languages!$A:$D,1,TRUE)=CONCATENATE($C$2,"-",$D19),VLOOKUP(CONCATENATE($C$2,"-",$D19),Languages!$A:$D,Kybermittari!$C$7,TRUE),NA())</f>
        <v>Kyberturvallisuustrategia määrittelee kyberturvallisuusohjelman rakenteen ja organisaation.</v>
      </c>
      <c r="F19" s="748"/>
      <c r="G19" s="748"/>
      <c r="H19" s="493">
        <f t="shared" si="1"/>
        <v>0</v>
      </c>
      <c r="I19" s="54"/>
      <c r="J19" s="648"/>
      <c r="K19" s="504"/>
      <c r="L19" s="469"/>
      <c r="M19" s="545"/>
      <c r="N19" s="469"/>
    </row>
    <row r="20" spans="1:16" s="495" customFormat="1" ht="35" customHeight="1" x14ac:dyDescent="0.3">
      <c r="A20" s="469"/>
      <c r="B20" s="749"/>
      <c r="C20" s="752"/>
      <c r="D20" s="503" t="s">
        <v>13</v>
      </c>
      <c r="E20" s="748" t="str">
        <f>IF(VLOOKUP(CONCATENATE($C$2,"-",$D20),Languages!$A:$D,1,TRUE)=CONCATENATE($C$2,"-",$D20),VLOOKUP(CONCATENATE($C$2,"-",$D20),Languages!$A:$D,Kybermittari!$C$7,TRUE),NA())</f>
        <v>Kyberturvallisuusstrategiassa on tunnistettu standardit ja/tai ohjeet, joita ohjelman tulisi noudattaa.</v>
      </c>
      <c r="F20" s="748"/>
      <c r="G20" s="748"/>
      <c r="H20" s="493">
        <f t="shared" si="1"/>
        <v>0</v>
      </c>
      <c r="I20" s="54"/>
      <c r="J20" s="648"/>
      <c r="K20" s="504"/>
      <c r="L20" s="469"/>
      <c r="M20" s="545"/>
      <c r="N20" s="469"/>
    </row>
    <row r="21" spans="1:16" s="495" customFormat="1" ht="47" customHeight="1" x14ac:dyDescent="0.3">
      <c r="A21" s="469"/>
      <c r="B21" s="613"/>
      <c r="C21" s="753"/>
      <c r="D21" s="503" t="s">
        <v>14</v>
      </c>
      <c r="E21" s="748" t="str">
        <f>IF(VLOOKUP(CONCATENATE($C$2,"-",$D21),Languages!$A:$D,1,TRUE)=CONCATENATE($C$2,"-",$D21),VLOOKUP(CONCATENATE($C$2,"-",$D21),Languages!$A:$D,Kybermittari!$C$7,TRUE),NA())</f>
        <v>Kyberturvallisuusstrategiassa on tunnistettu kaikki olennaiset vaatimustenmukaisuusvaatimukset ("compliance requirements"), jotka ohjelman tulee toteuttaa.</v>
      </c>
      <c r="F21" s="748"/>
      <c r="G21" s="748"/>
      <c r="H21" s="493">
        <f t="shared" si="1"/>
        <v>0</v>
      </c>
      <c r="I21" s="54"/>
      <c r="J21" s="648"/>
      <c r="K21" s="504"/>
      <c r="L21" s="524"/>
      <c r="M21" s="545"/>
      <c r="N21" s="524"/>
    </row>
    <row r="22" spans="1:16" s="495" customFormat="1" ht="10" customHeight="1" x14ac:dyDescent="0.3">
      <c r="A22" s="469"/>
      <c r="B22" s="613"/>
      <c r="C22" s="498"/>
      <c r="D22" s="614"/>
      <c r="E22" s="615"/>
      <c r="F22" s="615"/>
      <c r="G22" s="615"/>
      <c r="H22" s="499"/>
      <c r="I22" s="502"/>
      <c r="J22" s="644"/>
      <c r="K22" s="504"/>
      <c r="L22" s="524"/>
      <c r="M22" s="545"/>
      <c r="N22" s="524"/>
    </row>
    <row r="23" spans="1:16" s="495" customFormat="1" ht="47" customHeight="1" x14ac:dyDescent="0.3">
      <c r="A23" s="469"/>
      <c r="B23" s="616"/>
      <c r="C23" s="617">
        <v>3</v>
      </c>
      <c r="D23" s="503" t="s">
        <v>15</v>
      </c>
      <c r="E23" s="748" t="str">
        <f>IF(VLOOKUP(CONCATENATE($C$2,"-",$D23),Languages!$A:$D,1,TRUE)=CONCATENATE($C$2,"-",$D23),VLOOKUP(CONCATENATE($C$2,"-",$D23),Languages!$A:$D,Kybermittari!$C$7,TRUE),NA())</f>
        <v>Kyberturvallisuusstrategia päivitetään vastaamaan liiketoiminnassa, toimintaympäristössä tai uhkaprofiilissa [kts. THREAT-1d] tapahtuvia muutoksia.</v>
      </c>
      <c r="F23" s="748"/>
      <c r="G23" s="748"/>
      <c r="H23" s="493">
        <f>IFERROR(INT(LEFT($I23,1)),0)</f>
        <v>0</v>
      </c>
      <c r="I23" s="54"/>
      <c r="J23" s="648"/>
      <c r="K23" s="504"/>
      <c r="L23" s="524"/>
      <c r="M23" s="545"/>
      <c r="N23" s="524"/>
    </row>
    <row r="24" spans="1:16" s="343" customFormat="1" ht="30" customHeight="1" thickBot="1" x14ac:dyDescent="0.3">
      <c r="A24" s="332"/>
      <c r="B24" s="461"/>
      <c r="C24" s="645">
        <v>2</v>
      </c>
      <c r="D24" s="645" t="str">
        <f>IF(VLOOKUP(CONCATENATE($C$2,"-",C24),Languages!$A:$D,1,TRUE)=CONCATENATE($C$2,"-",C24),VLOOKUP(CONCATENATE($C$2,"-",C24),Languages!$A:$D,Kybermittari!$C$7,TRUE),NA())</f>
        <v>Johdon tuki kyberturvallisuusohjelmalle</v>
      </c>
      <c r="E24" s="645"/>
      <c r="F24" s="646"/>
      <c r="G24" s="646"/>
      <c r="H24" s="646"/>
      <c r="I24" s="646" t="s">
        <v>19</v>
      </c>
      <c r="J24" s="646"/>
      <c r="K24" s="339"/>
      <c r="L24" s="347"/>
      <c r="M24" s="533"/>
      <c r="N24" s="347"/>
      <c r="O24" s="341"/>
      <c r="P24" s="341"/>
    </row>
    <row r="25" spans="1:16" s="475" customFormat="1" ht="59.5" customHeight="1" x14ac:dyDescent="0.3">
      <c r="A25" s="469"/>
      <c r="B25" s="470"/>
      <c r="C25" s="745" t="str">
        <f>IF(VLOOKUP(CONCATENATE($C$2,"-",$C24,"-0"),Languages!$A:$D,1,TRUE)=CONCATENATE($C$2,"-",$C24,"-0"),VLOOKUP(CONCATENATE($C$2,"-",$C24,"-0"),Languages!$A:$D,Kybermittari!$C$7,TRUE),NA())</f>
        <v>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v>
      </c>
      <c r="D25" s="745"/>
      <c r="E25" s="745"/>
      <c r="F25" s="745"/>
      <c r="G25" s="745"/>
      <c r="H25" s="745"/>
      <c r="I25" s="745"/>
      <c r="J25" s="745"/>
      <c r="K25" s="471"/>
      <c r="L25" s="524"/>
      <c r="M25" s="545"/>
      <c r="N25" s="524"/>
      <c r="O25" s="473"/>
      <c r="P25" s="473"/>
    </row>
    <row r="26" spans="1:16" s="547" customFormat="1" ht="20" customHeight="1" x14ac:dyDescent="0.3">
      <c r="A26" s="483"/>
      <c r="B26" s="476"/>
      <c r="C26" s="477" t="str">
        <f>IF(VLOOKUP("GEN-LEVEL",Languages!$A:$D,1,TRUE)="GEN-LEVEL",VLOOKUP("GEN-LEVEL",Languages!$A:$D,Kybermittari!$C$7,TRUE),NA())</f>
        <v>Taso</v>
      </c>
      <c r="D26" s="477"/>
      <c r="E26" s="478" t="str">
        <f>IF(VLOOKUP("GEN-PRACTICE",Languages!$A:$D,1,TRUE)="GEN-PRACTICE",VLOOKUP("GEN-PRACTICE",Languages!$A:$D,Kybermittari!$C$7,TRUE),NA())</f>
        <v>Käytäntö</v>
      </c>
      <c r="F26" s="479"/>
      <c r="G26" s="480"/>
      <c r="H26" s="481"/>
      <c r="I26" s="478" t="str">
        <f>IF(VLOOKUP("GEN-ANSWER",Languages!$A:$D,1,TRUE)="GEN-ANSWER",VLOOKUP("GEN-ANSWER",Languages!$A:$D,Kybermittari!$C$7,TRUE),NA())</f>
        <v>Vastaus</v>
      </c>
      <c r="J26" s="477" t="str">
        <f>IF(VLOOKUP("GEN-COMMENT",Languages!$A:$D,1,TRUE)="GEN-COMMENT",VLOOKUP("GEN-COMMENT",Languages!$A:$D,Kybermittari!$C$7,TRUE),NA())</f>
        <v>Kommentti ja viittaukset</v>
      </c>
      <c r="K26" s="482"/>
      <c r="L26" s="524"/>
      <c r="M26" s="545"/>
      <c r="N26" s="524"/>
      <c r="O26" s="546"/>
      <c r="P26" s="546"/>
    </row>
    <row r="27" spans="1:16" s="547" customFormat="1" ht="10" customHeight="1" x14ac:dyDescent="0.3">
      <c r="A27" s="483"/>
      <c r="B27" s="476"/>
      <c r="C27" s="487"/>
      <c r="D27" s="487"/>
      <c r="E27" s="488"/>
      <c r="F27" s="489"/>
      <c r="G27" s="490"/>
      <c r="H27" s="491"/>
      <c r="I27" s="488"/>
      <c r="J27" s="487"/>
      <c r="K27" s="482"/>
      <c r="L27" s="524"/>
      <c r="M27" s="545"/>
      <c r="N27" s="524"/>
      <c r="O27" s="546"/>
      <c r="P27" s="546"/>
    </row>
    <row r="28" spans="1:16" s="510" customFormat="1" ht="47" customHeight="1" x14ac:dyDescent="0.3">
      <c r="A28" s="524"/>
      <c r="B28" s="741"/>
      <c r="C28" s="757">
        <v>1</v>
      </c>
      <c r="D28" s="508" t="s">
        <v>20</v>
      </c>
      <c r="E28" s="742" t="str">
        <f>IF(VLOOKUP(CONCATENATE($C$2,"-",$D28),Languages!$A:$D,1,TRUE)=CONCATENATE($C$2,"-",$D28),VLOOKUP(CONCATENATE($C$2,"-",$D28),Languages!$A:$D,Kybermittari!$C$7,TRUE),NA())</f>
        <v>Organisaatio on osoittanut resurssit (henkilöt, rahoitus ja työkalut), joilla perustaa kyberturvallisuuden kehitysohjelma - vaikka ei välttämättä systemaattisesti ja kaiken kattavasti.</v>
      </c>
      <c r="F28" s="742"/>
      <c r="G28" s="742"/>
      <c r="H28" s="493">
        <f>IFERROR(INT(LEFT($I28,1)),0)</f>
        <v>0</v>
      </c>
      <c r="I28" s="54"/>
      <c r="J28" s="649"/>
      <c r="K28" s="509"/>
      <c r="L28" s="524"/>
      <c r="M28" s="545"/>
      <c r="N28" s="524"/>
      <c r="O28" s="495"/>
      <c r="P28" s="495"/>
    </row>
    <row r="29" spans="1:16" s="510" customFormat="1" ht="47.5" customHeight="1" x14ac:dyDescent="0.3">
      <c r="A29" s="524"/>
      <c r="B29" s="741"/>
      <c r="C29" s="759"/>
      <c r="D29" s="508" t="s">
        <v>21</v>
      </c>
      <c r="E29" s="742" t="str">
        <f>IF(VLOOKUP(CONCATENATE($C$2,"-",$D29),Languages!$A:$D,1,TRUE)=CONCATENATE($C$2,"-",$D29),VLOOKUP(CONCATENATE($C$2,"-",$D29),Languages!$A:$D,Kybermittari!$C$7,TRUE),NA())</f>
        <v>Organisaation ylin johto (jäsenet, joilla on sopivat toimivaltuudet) tukee kyberturvallisuuden kehitysohjelmaa - vaikka ei välttämättä systemaattisesti ja kaiken kattavasti.</v>
      </c>
      <c r="F29" s="742"/>
      <c r="G29" s="742"/>
      <c r="H29" s="493">
        <f>IFERROR(INT(LEFT($I29,1)),0)</f>
        <v>0</v>
      </c>
      <c r="I29" s="54"/>
      <c r="J29" s="648"/>
      <c r="K29" s="509"/>
      <c r="L29" s="524"/>
      <c r="M29" s="545"/>
      <c r="N29" s="524"/>
      <c r="O29" s="495"/>
      <c r="P29" s="495"/>
    </row>
    <row r="30" spans="1:16" s="510" customFormat="1" ht="10" customHeight="1" x14ac:dyDescent="0.3">
      <c r="A30" s="524"/>
      <c r="B30" s="511"/>
      <c r="C30" s="565"/>
      <c r="D30" s="513"/>
      <c r="E30" s="501"/>
      <c r="F30" s="501"/>
      <c r="G30" s="501"/>
      <c r="H30" s="499"/>
      <c r="I30" s="502"/>
      <c r="J30" s="644"/>
      <c r="K30" s="509"/>
      <c r="L30" s="524"/>
      <c r="M30" s="545"/>
      <c r="N30" s="524"/>
      <c r="O30" s="495"/>
      <c r="P30" s="495"/>
    </row>
    <row r="31" spans="1:16" s="510" customFormat="1" ht="35" customHeight="1" x14ac:dyDescent="0.3">
      <c r="A31" s="524"/>
      <c r="B31" s="741"/>
      <c r="C31" s="757">
        <v>2</v>
      </c>
      <c r="D31" s="508" t="s">
        <v>22</v>
      </c>
      <c r="E31" s="742" t="str">
        <f>IF(VLOOKUP(CONCATENATE($C$2,"-",$D31),Languages!$A:$D,1,TRUE)=CONCATENATE($C$2,"-",$D31),VLOOKUP(CONCATENATE($C$2,"-",$D31),Languages!$A:$D,Kybermittari!$C$7,TRUE),NA())</f>
        <v>Kyberturvallisuuden kehitysohjelma on perustettu kyberturvallisuusstrategian mukaisesti.</v>
      </c>
      <c r="F31" s="742"/>
      <c r="G31" s="742"/>
      <c r="H31" s="493">
        <f t="shared" ref="H31:H36" si="2">IFERROR(INT(LEFT($I31,1)),0)</f>
        <v>0</v>
      </c>
      <c r="I31" s="54"/>
      <c r="J31" s="648"/>
      <c r="K31" s="509"/>
      <c r="L31" s="618"/>
      <c r="M31" s="545"/>
      <c r="N31" s="618"/>
      <c r="O31" s="495"/>
      <c r="P31" s="495"/>
    </row>
    <row r="32" spans="1:16" s="510" customFormat="1" ht="47" customHeight="1" x14ac:dyDescent="0.3">
      <c r="A32" s="524"/>
      <c r="B32" s="741"/>
      <c r="C32" s="758"/>
      <c r="D32" s="508" t="s">
        <v>23</v>
      </c>
      <c r="E32" s="742" t="str">
        <f>IF(VLOOKUP(CONCATENATE($C$2,"-",$D32),Languages!$A:$D,1,TRUE)=CONCATENATE($C$2,"-",$D32),VLOOKUP(CONCATENATE($C$2,"-",$D32),Languages!$A:$D,Kybermittari!$C$7,TRUE),NA())</f>
        <v>Organisaatio on osoittanut riittävät resurssit (henkilöt, rahoitus ja työkalut), jotta kyberturvallisuuden kehitysohjelma voi toimia annetun strategian mukaisesti.</v>
      </c>
      <c r="F32" s="742"/>
      <c r="G32" s="742"/>
      <c r="H32" s="493">
        <f t="shared" si="2"/>
        <v>0</v>
      </c>
      <c r="I32" s="54"/>
      <c r="J32" s="648"/>
      <c r="K32" s="509"/>
      <c r="L32" s="524"/>
      <c r="M32" s="545"/>
      <c r="N32" s="524"/>
      <c r="O32" s="495"/>
      <c r="P32" s="495"/>
    </row>
    <row r="33" spans="1:16" s="510" customFormat="1" ht="58" customHeight="1" x14ac:dyDescent="0.3">
      <c r="A33" s="524"/>
      <c r="B33" s="741"/>
      <c r="C33" s="758"/>
      <c r="D33" s="508" t="s">
        <v>24</v>
      </c>
      <c r="E33" s="742" t="str">
        <f>IF(VLOOKUP(CONCATENATE($C$2,"-",$D33),Languages!$A:$D,1,TRUE)=CONCATENATE($C$2,"-",$D33),VLOOKUP(CONCATENATE($C$2,"-",$D33),Languages!$A:$D,Kybermittari!$C$7,TRUE),NA())</f>
        <v>Organisaation ylimmän johdon tuki kyberturvallisuuden kehitysohjelmalle on näkyvää ja aktiivista (esim. ylin johto tuo säännöllisesti esille kyberturvallisuuden tärkeyden organisaatiolle).</v>
      </c>
      <c r="F33" s="742"/>
      <c r="G33" s="742"/>
      <c r="H33" s="493">
        <f t="shared" si="2"/>
        <v>0</v>
      </c>
      <c r="I33" s="54"/>
      <c r="J33" s="648"/>
      <c r="K33" s="509"/>
      <c r="L33" s="483"/>
      <c r="M33" s="545"/>
      <c r="N33" s="523"/>
      <c r="O33" s="495"/>
      <c r="P33" s="495"/>
    </row>
    <row r="34" spans="1:16" s="510" customFormat="1" ht="35" customHeight="1" x14ac:dyDescent="0.3">
      <c r="A34" s="524"/>
      <c r="B34" s="741"/>
      <c r="C34" s="758"/>
      <c r="D34" s="508" t="s">
        <v>112</v>
      </c>
      <c r="E34" s="742" t="str">
        <f>IF(VLOOKUP(CONCATENATE($C$2,"-",$D34),Languages!$A:$D,1,TRUE)=CONCATENATE($C$2,"-",$D34),VLOOKUP(CONCATENATE($C$2,"-",$D34),Languages!$A:$D,Kybermittari!$C$7,TRUE),NA())</f>
        <v>Organisaation ylin johto tukee kyberturvallisuuspolitiikan -ja ohjeiden kehitystä, ylläpitoa ja täytäntöönpanoa.</v>
      </c>
      <c r="F34" s="742"/>
      <c r="G34" s="742"/>
      <c r="H34" s="493">
        <f t="shared" si="2"/>
        <v>0</v>
      </c>
      <c r="I34" s="54"/>
      <c r="J34" s="648"/>
      <c r="K34" s="509"/>
      <c r="L34" s="483"/>
      <c r="M34" s="545"/>
      <c r="N34" s="523"/>
      <c r="O34" s="495"/>
      <c r="P34" s="495"/>
    </row>
    <row r="35" spans="1:16" s="510" customFormat="1" ht="35" customHeight="1" x14ac:dyDescent="0.3">
      <c r="A35" s="524"/>
      <c r="B35" s="741"/>
      <c r="C35" s="758"/>
      <c r="D35" s="508" t="s">
        <v>176</v>
      </c>
      <c r="E35" s="742" t="str">
        <f>IF(VLOOKUP(CONCATENATE($C$2,"-",$D35),Languages!$A:$D,1,TRUE)=CONCATENATE($C$2,"-",$D35),VLOOKUP(CONCATENATE($C$2,"-",$D35),Languages!$A:$D,Kybermittari!$C$7,TRUE),NA())</f>
        <v>Vastuu kyberturvallisuuden hallintaohjelmasta on osoitettu organisaatiossa taholle/roolille, jolla on riittävät toimivaltuudet.</v>
      </c>
      <c r="F35" s="742"/>
      <c r="G35" s="742"/>
      <c r="H35" s="493">
        <f t="shared" si="2"/>
        <v>0</v>
      </c>
      <c r="I35" s="54"/>
      <c r="J35" s="648"/>
      <c r="K35" s="509"/>
      <c r="L35" s="483"/>
      <c r="M35" s="545"/>
      <c r="N35" s="523"/>
      <c r="O35" s="495"/>
      <c r="P35" s="495"/>
    </row>
    <row r="36" spans="1:16" s="510" customFormat="1" ht="35" customHeight="1" x14ac:dyDescent="0.3">
      <c r="A36" s="524"/>
      <c r="B36" s="741"/>
      <c r="C36" s="759"/>
      <c r="D36" s="508" t="s">
        <v>178</v>
      </c>
      <c r="E36" s="742" t="str">
        <f>IF(VLOOKUP(CONCATENATE($C$2,"-",$D36),Languages!$A:$D,1,TRUE)=CONCATENATE($C$2,"-",$D36),VLOOKUP(CONCATENATE($C$2,"-",$D36),Languages!$A:$D,Kybermittari!$C$7,TRUE),NA())</f>
        <v>Kyberturvallisuuden kehitysohjelmaan liittyvät sidosryhmät tunnistetaan ja osallistetaan.</v>
      </c>
      <c r="F36" s="742"/>
      <c r="G36" s="742"/>
      <c r="H36" s="493">
        <f t="shared" si="2"/>
        <v>0</v>
      </c>
      <c r="I36" s="54"/>
      <c r="J36" s="648"/>
      <c r="K36" s="509"/>
      <c r="L36" s="483"/>
      <c r="M36" s="545"/>
      <c r="N36" s="523"/>
      <c r="O36" s="495"/>
      <c r="P36" s="495"/>
    </row>
    <row r="37" spans="1:16" s="510" customFormat="1" ht="10" customHeight="1" x14ac:dyDescent="0.3">
      <c r="A37" s="524"/>
      <c r="B37" s="741"/>
      <c r="C37" s="565"/>
      <c r="D37" s="513"/>
      <c r="E37" s="501"/>
      <c r="F37" s="501"/>
      <c r="G37" s="501"/>
      <c r="H37" s="499"/>
      <c r="I37" s="502"/>
      <c r="J37" s="644"/>
      <c r="K37" s="509"/>
      <c r="L37" s="483"/>
      <c r="M37" s="545"/>
      <c r="N37" s="523"/>
      <c r="O37" s="495"/>
      <c r="P37" s="495"/>
    </row>
    <row r="38" spans="1:16" s="510" customFormat="1" ht="46.5" customHeight="1" x14ac:dyDescent="0.3">
      <c r="A38" s="524"/>
      <c r="B38" s="741"/>
      <c r="C38" s="757">
        <v>3</v>
      </c>
      <c r="D38" s="508" t="s">
        <v>209</v>
      </c>
      <c r="E38" s="742" t="str">
        <f>IF(VLOOKUP(CONCATENATE($C$2,"-",$D38),Languages!$A:$D,1,TRUE)=CONCATENATE($C$2,"-",$D38),VLOOKUP(CONCATENATE($C$2,"-",$D38),Languages!$A:$D,Kybermittari!$C$7,TRUE),NA())</f>
        <v>Kyberturvallisuuden kehitysohjelman suorituskykyä mitataan, jotta varmistetaan että se on kyberturvallisuusstrategian mukainen.</v>
      </c>
      <c r="F38" s="742"/>
      <c r="G38" s="742"/>
      <c r="H38" s="493">
        <f>IFERROR(INT(LEFT($I38,1)),0)</f>
        <v>0</v>
      </c>
      <c r="I38" s="54"/>
      <c r="J38" s="648"/>
      <c r="K38" s="509"/>
      <c r="L38" s="524"/>
      <c r="M38" s="545"/>
      <c r="N38" s="524"/>
      <c r="O38" s="495"/>
      <c r="P38" s="495"/>
    </row>
    <row r="39" spans="1:16" s="510" customFormat="1" ht="75" customHeight="1" x14ac:dyDescent="0.3">
      <c r="A39" s="524"/>
      <c r="B39" s="741"/>
      <c r="C39" s="758"/>
      <c r="D39" s="508" t="s">
        <v>211</v>
      </c>
      <c r="E39" s="742" t="str">
        <f>IF(VLOOKUP(CONCATENATE($C$2,"-",$D39),Languages!$A:$D,1,TRUE)=CONCATENATE($C$2,"-",$D39),VLOOKUP(CONCATENATE($C$2,"-",$D39),Languages!$A:$D,Kybermittari!$C$7,TRUE),NA())</f>
        <v>Riippumaton taho arvioi, kuinka kyberturvallisuuden toimenpiteet noudattavat organisaation kyberturvallisuuspolitiikkaa-, -ohjeita ja -prosesseja. Tällaisia riippumattomia tahoja voi olla esim. kehitysohjelman ulkopuoliset ja suoraan organisaation hallituksen tai vastaavan hallintoelimen ohjauksessa olevat arvioijat.</v>
      </c>
      <c r="F39" s="742"/>
      <c r="G39" s="742"/>
      <c r="H39" s="493">
        <f>IFERROR(INT(LEFT($I39,1)),0)</f>
        <v>0</v>
      </c>
      <c r="I39" s="54"/>
      <c r="J39" s="648"/>
      <c r="K39" s="509"/>
      <c r="L39" s="524"/>
      <c r="M39" s="545"/>
      <c r="N39" s="524"/>
      <c r="O39" s="495"/>
      <c r="P39" s="495"/>
    </row>
    <row r="40" spans="1:16" s="510" customFormat="1" ht="38" customHeight="1" x14ac:dyDescent="0.3">
      <c r="A40" s="524"/>
      <c r="B40" s="741"/>
      <c r="C40" s="758"/>
      <c r="D40" s="508" t="s">
        <v>213</v>
      </c>
      <c r="E40" s="742" t="str">
        <f>IF(VLOOKUP(CONCATENATE($C$2,"-",$D40),Languages!$A:$D,1,TRUE)=CONCATENATE($C$2,"-",$D40),VLOOKUP(CONCATENATE($C$2,"-",$D40),Languages!$A:$D,Kybermittari!$C$7,TRUE),NA())</f>
        <v>Kyberturvallisuuden kehitysohjelma huomioi ja mahdollistaa sääntelyvaatimusten noudattamisen ("regulatory compliance").</v>
      </c>
      <c r="F40" s="742"/>
      <c r="G40" s="742"/>
      <c r="H40" s="493">
        <f>IFERROR(INT(LEFT($I40,1)),0)</f>
        <v>0</v>
      </c>
      <c r="I40" s="54"/>
      <c r="J40" s="648"/>
      <c r="K40" s="509"/>
      <c r="L40" s="524"/>
      <c r="M40" s="545"/>
      <c r="N40" s="524"/>
      <c r="O40" s="495"/>
      <c r="P40" s="495"/>
    </row>
    <row r="41" spans="1:16" s="510" customFormat="1" ht="60" customHeight="1" x14ac:dyDescent="0.3">
      <c r="A41" s="524"/>
      <c r="B41" s="741"/>
      <c r="C41" s="759"/>
      <c r="D41" s="508" t="s">
        <v>215</v>
      </c>
      <c r="E41" s="742" t="str">
        <f>IF(VLOOKUP(CONCATENATE($C$2,"-",$D41),Languages!$A:$D,1,TRUE)=CONCATENATE($C$2,"-",$D41),VLOOKUP(CONCATENATE($C$2,"-",$D41),Languages!$A:$D,Kybermittari!$C$7,TRUE),NA())</f>
        <v>Organisaatio tekee yhteistyötä organisaation ulkopuolisten toimijoiden ja järjestöjen kanssa tukeakseen osaltaan kyberturvallisuusstandardien, ohjeistuksien, johtavien käytäntöjen, opittujen kokemusten sekä kehittyvien teknologioiden kehittämistä ja täytäntöönpanoa.</v>
      </c>
      <c r="F41" s="742"/>
      <c r="G41" s="742"/>
      <c r="H41" s="493">
        <f>IFERROR(INT(LEFT($I41,1)),0)</f>
        <v>0</v>
      </c>
      <c r="I41" s="54"/>
      <c r="J41" s="648"/>
      <c r="K41" s="509"/>
      <c r="L41" s="524"/>
      <c r="M41" s="545"/>
      <c r="N41" s="524"/>
      <c r="O41" s="495"/>
      <c r="P41" s="495"/>
    </row>
    <row r="42" spans="1:16" s="343" customFormat="1" ht="30" customHeight="1" x14ac:dyDescent="0.25">
      <c r="A42" s="332"/>
      <c r="B42" s="461"/>
      <c r="C42" s="336">
        <v>3</v>
      </c>
      <c r="D42" s="336" t="str">
        <f>IF(VLOOKUP(CONCATENATE($C$2,"-",C42),Languages!$A:$D,1,TRUE)=CONCATENATE($C$2,"-",C42),VLOOKUP(CONCATENATE($C$2,"-",C42),Languages!$A:$D,Kybermittari!$C$7,TRUE),NA())</f>
        <v>Kyberturvallisuus osana jatkuvuussuunnittelua</v>
      </c>
      <c r="E42" s="336"/>
      <c r="F42" s="506"/>
      <c r="G42" s="506"/>
      <c r="H42" s="506"/>
      <c r="I42" s="506" t="s">
        <v>19</v>
      </c>
      <c r="J42" s="506"/>
      <c r="K42" s="339"/>
      <c r="L42" s="347"/>
      <c r="M42" s="533"/>
      <c r="N42" s="347"/>
      <c r="O42" s="341"/>
      <c r="P42" s="341"/>
    </row>
    <row r="43" spans="1:16" s="510" customFormat="1" ht="65" customHeight="1" x14ac:dyDescent="0.3">
      <c r="A43" s="524"/>
      <c r="B43" s="511"/>
      <c r="C43" s="745" t="str">
        <f>IF(VLOOKUP(CONCATENATE($C$2,"-",$C42,"-0"),Languages!$A:$D,1,TRUE)=CONCATENATE($C$2,"-",$C42,"-0"),VLOOKUP(CONCATENATE($C$2,"-",$C42,"-0"),Languages!$A:$D,Kybermittari!$C$7,TRUE),NA())</f>
        <v>Kyberturvallisuusstrategian ja toiminnan jatkuvuuteen liittyvien suunnitelmien tulisi sopia keskenään yhteen. Näiden yhteensovittaminen on tärkeää jatkuvuussuunnitelmien ylläpitämiseksi ja toimintojen palauttamiseksi kybertapahtumien yhteydessä. Potentiaalisten kyberhäiriöiden huomioiminen jatkuvuussuunnitelmissa edellyttää tunnettujen kyberuhkien ja kyberriskiluokkien huomioimista. Jatkuvuussuunnitelmien testaamisessa tulisi ottaa huomioon kyberhäiriöt, jotta voidaan varmistua suunnitelmien toimivuudesta kyseisten häiriöiden yhteydessä.</v>
      </c>
      <c r="D43" s="745"/>
      <c r="E43" s="745"/>
      <c r="F43" s="745"/>
      <c r="G43" s="745"/>
      <c r="H43" s="745"/>
      <c r="I43" s="745"/>
      <c r="J43" s="745"/>
      <c r="K43" s="509"/>
      <c r="L43" s="524"/>
      <c r="M43" s="545"/>
      <c r="N43" s="524"/>
      <c r="O43" s="495"/>
      <c r="P43" s="495"/>
    </row>
    <row r="44" spans="1:16" s="547" customFormat="1" ht="20" customHeight="1" x14ac:dyDescent="0.3">
      <c r="A44" s="483"/>
      <c r="B44" s="476"/>
      <c r="C44" s="477" t="str">
        <f>IF(VLOOKUP("GEN-LEVEL",Languages!$A:$D,1,TRUE)="GEN-LEVEL",VLOOKUP("GEN-LEVEL",Languages!$A:$D,Kybermittari!$C$7,TRUE),NA())</f>
        <v>Taso</v>
      </c>
      <c r="D44" s="477"/>
      <c r="E44" s="478" t="str">
        <f>IF(VLOOKUP("GEN-PRACTICE",Languages!$A:$D,1,TRUE)="GEN-PRACTICE",VLOOKUP("GEN-PRACTICE",Languages!$A:$D,Kybermittari!$C$7,TRUE),NA())</f>
        <v>Käytäntö</v>
      </c>
      <c r="F44" s="479"/>
      <c r="G44" s="480"/>
      <c r="H44" s="481"/>
      <c r="I44" s="478" t="str">
        <f>IF(VLOOKUP("GEN-ANSWER",Languages!$A:$D,1,TRUE)="GEN-ANSWER",VLOOKUP("GEN-ANSWER",Languages!$A:$D,Kybermittari!$C$7,TRUE),NA())</f>
        <v>Vastaus</v>
      </c>
      <c r="J44" s="477" t="str">
        <f>IF(VLOOKUP("GEN-COMMENT",Languages!$A:$D,1,TRUE)="GEN-COMMENT",VLOOKUP("GEN-COMMENT",Languages!$A:$D,Kybermittari!$C$7,TRUE),NA())</f>
        <v>Kommentti ja viittaukset</v>
      </c>
      <c r="K44" s="482"/>
      <c r="L44" s="618"/>
      <c r="M44" s="545"/>
      <c r="N44" s="618"/>
      <c r="O44" s="546"/>
      <c r="P44" s="546"/>
    </row>
    <row r="45" spans="1:16" s="547" customFormat="1" ht="10" customHeight="1" x14ac:dyDescent="0.3">
      <c r="A45" s="483"/>
      <c r="B45" s="476"/>
      <c r="C45" s="487"/>
      <c r="D45" s="487"/>
      <c r="E45" s="488"/>
      <c r="F45" s="489"/>
      <c r="G45" s="490"/>
      <c r="H45" s="491"/>
      <c r="I45" s="488"/>
      <c r="J45" s="487"/>
      <c r="K45" s="482"/>
      <c r="L45" s="618"/>
      <c r="M45" s="545"/>
      <c r="N45" s="618"/>
      <c r="O45" s="546"/>
      <c r="P45" s="546"/>
    </row>
    <row r="46" spans="1:16" s="510" customFormat="1" ht="47" customHeight="1" x14ac:dyDescent="0.3">
      <c r="A46" s="524"/>
      <c r="B46" s="511"/>
      <c r="C46" s="760">
        <v>1</v>
      </c>
      <c r="D46" s="508" t="s">
        <v>25</v>
      </c>
      <c r="E46" s="742" t="str">
        <f>IF(VLOOKUP(CONCATENATE($C$2,"-",$D46),Languages!$A:$D,1,TRUE)=CONCATENATE($C$2,"-",$D46),VLOOKUP(CONCATENATE($C$2,"-",$D46),Languages!$A:$D,Kybermittari!$C$7,TRUE),NA())</f>
        <v>Jatkuvuussuunnitelmia on kehitetty kybertapahtumien ja -häiriöiden varalle toiminnan jatkuvuuden ja palautumisen turvaamiseksi - vaikka ei välttämättä systemaattisesti ja kaiken kattavasti.</v>
      </c>
      <c r="F46" s="742"/>
      <c r="G46" s="742"/>
      <c r="H46" s="493">
        <f>IFERROR(INT(LEFT($I46,1)),0)</f>
        <v>0</v>
      </c>
      <c r="I46" s="54"/>
      <c r="J46" s="648"/>
      <c r="K46" s="509"/>
      <c r="L46" s="524"/>
      <c r="M46" s="545"/>
      <c r="N46" s="524"/>
      <c r="O46" s="495"/>
      <c r="P46" s="495"/>
    </row>
    <row r="47" spans="1:16" s="510" customFormat="1" ht="47" customHeight="1" x14ac:dyDescent="0.3">
      <c r="A47" s="524"/>
      <c r="B47" s="511"/>
      <c r="C47" s="760"/>
      <c r="D47" s="508" t="s">
        <v>26</v>
      </c>
      <c r="E47" s="742" t="str">
        <f>IF(VLOOKUP(CONCATENATE($C$2,"-",$D47),Languages!$A:$D,1,TRUE)=CONCATENATE($C$2,"-",$D47),VLOOKUP(CONCATENATE($C$2,"-",$D47),Languages!$A:$D,Kybermittari!$C$7,TRUE),NA())</f>
        <v>Organisaation IT- ja OT-omaisuudesta ja tietovarannoista on saatavilla varmuuskopiot ja varmuuskopioita testataan - vaikka ei välttämättä systemaattisesti ja kaiken kattavasti.</v>
      </c>
      <c r="F47" s="742"/>
      <c r="G47" s="742"/>
      <c r="H47" s="493">
        <f>IFERROR(INT(LEFT($I47,1)),0)</f>
        <v>0</v>
      </c>
      <c r="I47" s="54"/>
      <c r="J47" s="648"/>
      <c r="K47" s="509"/>
      <c r="L47" s="483"/>
      <c r="M47" s="545"/>
      <c r="N47" s="523"/>
      <c r="O47" s="495"/>
      <c r="P47" s="495"/>
    </row>
    <row r="48" spans="1:16" s="510" customFormat="1" ht="10" customHeight="1" x14ac:dyDescent="0.3">
      <c r="A48" s="524"/>
      <c r="B48" s="511"/>
      <c r="C48" s="565"/>
      <c r="D48" s="513"/>
      <c r="E48" s="501"/>
      <c r="F48" s="501"/>
      <c r="G48" s="501"/>
      <c r="H48" s="499"/>
      <c r="I48" s="502"/>
      <c r="J48" s="644"/>
      <c r="K48" s="509"/>
      <c r="L48" s="483"/>
      <c r="M48" s="545"/>
      <c r="N48" s="523"/>
      <c r="O48" s="495"/>
      <c r="P48" s="495"/>
    </row>
    <row r="49" spans="1:16" s="510" customFormat="1" ht="35" customHeight="1" x14ac:dyDescent="0.3">
      <c r="A49" s="524"/>
      <c r="B49" s="511"/>
      <c r="C49" s="760">
        <v>2</v>
      </c>
      <c r="D49" s="508" t="s">
        <v>27</v>
      </c>
      <c r="E49" s="742" t="str">
        <f>IF(VLOOKUP(CONCATENATE($C$2,"-",$D49),Languages!$A:$D,1,TRUE)=CONCATENATE($C$2,"-",$D49),VLOOKUP(CONCATENATE($C$2,"-",$D49),Languages!$A:$D,Kybermittari!$C$7,TRUE),NA())</f>
        <v>Jatkuvuussuunnitelmien kehittämisessä huomioidaan mahdollisten kybertapahtumien vaikutuksista tehdyt selvitykset ja niiden tulokset.</v>
      </c>
      <c r="F49" s="742"/>
      <c r="G49" s="742"/>
      <c r="H49" s="493">
        <f t="shared" ref="H49:H54" si="3">IFERROR(INT(LEFT($I49,1)),0)</f>
        <v>0</v>
      </c>
      <c r="I49" s="54"/>
      <c r="J49" s="648"/>
      <c r="K49" s="509"/>
      <c r="L49" s="483"/>
      <c r="M49" s="545"/>
      <c r="N49" s="523"/>
      <c r="O49" s="495"/>
      <c r="P49" s="495"/>
    </row>
    <row r="50" spans="1:16" s="510" customFormat="1" ht="47" customHeight="1" x14ac:dyDescent="0.3">
      <c r="A50" s="524"/>
      <c r="B50" s="511"/>
      <c r="C50" s="760"/>
      <c r="D50" s="508" t="s">
        <v>28</v>
      </c>
      <c r="E50" s="742" t="str">
        <f>IF(VLOOKUP(CONCATENATE($C$2,"-",$D50),Languages!$A:$D,1,TRUE)=CONCATENATE($C$2,"-",$D50),VLOOKUP(CONCATENATE($C$2,"-",$D50),Languages!$A:$D,Kybermittari!$C$7,TRUE),NA())</f>
        <v>Jatkuvuussuunnitelmissa on tunnistettu ja dokumentoitu ne suojattavat kohteet ja toiminnat, jotka tarvitaan toiminnan osa-alueen minimitoiminnallisuuden ylläpitämiseen.</v>
      </c>
      <c r="F50" s="742"/>
      <c r="G50" s="742"/>
      <c r="H50" s="493">
        <f t="shared" si="3"/>
        <v>0</v>
      </c>
      <c r="I50" s="54"/>
      <c r="J50" s="648"/>
      <c r="K50" s="509"/>
      <c r="L50" s="483"/>
      <c r="M50" s="545"/>
      <c r="N50" s="523"/>
      <c r="O50" s="495"/>
      <c r="P50" s="495"/>
    </row>
    <row r="51" spans="1:16" s="510" customFormat="1" ht="60" customHeight="1" x14ac:dyDescent="0.3">
      <c r="A51" s="524"/>
      <c r="B51" s="511"/>
      <c r="C51" s="760"/>
      <c r="D51" s="508" t="s">
        <v>29</v>
      </c>
      <c r="E51" s="742" t="str">
        <f>IF(VLOOKUP(CONCATENATE($C$2,"-",$D51),Languages!$A:$D,1,TRUE)=CONCATENATE($C$2,"-",$D51),VLOOKUP(CONCATENATE($C$2,"-",$D51),Languages!$A:$D,Kybermittari!$C$7,TRUE),NA())</f>
        <v>Jatkuvuussuunnitelmat kattavat toiminnan osa-alueen toimintavarmuuden kannalta tärkeän IT- ja OT-omaisuuden ja tietovarannot. Suunnitelmat ottavat kantaa varmuuskopioiden saatavuuteen sekä korvaaviin ja varalla oleviin suojattaviin IT- ja OT-kohteisiin.</v>
      </c>
      <c r="F51" s="742"/>
      <c r="G51" s="742"/>
      <c r="H51" s="493">
        <f t="shared" si="3"/>
        <v>0</v>
      </c>
      <c r="I51" s="54"/>
      <c r="J51" s="648"/>
      <c r="K51" s="509"/>
      <c r="L51" s="483"/>
      <c r="M51" s="545"/>
      <c r="N51" s="523"/>
      <c r="O51" s="495"/>
      <c r="P51" s="495"/>
    </row>
    <row r="52" spans="1:16" s="510" customFormat="1" ht="47" customHeight="1" x14ac:dyDescent="0.3">
      <c r="A52" s="524"/>
      <c r="B52" s="511"/>
      <c r="C52" s="760"/>
      <c r="D52" s="508" t="s">
        <v>30</v>
      </c>
      <c r="E52" s="742" t="str">
        <f>IF(VLOOKUP(CONCATENATE($C$2,"-",$D52),Languages!$A:$D,1,TRUE)=CONCATENATE($C$2,"-",$D52),VLOOKUP(CONCATENATE($C$2,"-",$D52),Languages!$A:$D,Kybermittari!$C$7,TRUE),NA())</f>
        <v>Jatkuvuussuunnitelmia testataan arvioinneilla ja harjoituksilla organisaation määrittämin aikavälein (esim. läpikäynti, simulointiharjoitus, riippuvuusharjoitus, varmuuskopioiden palautustestaus).</v>
      </c>
      <c r="F52" s="742"/>
      <c r="G52" s="742"/>
      <c r="H52" s="493">
        <f t="shared" si="3"/>
        <v>0</v>
      </c>
      <c r="I52" s="54"/>
      <c r="J52" s="648"/>
      <c r="K52" s="509"/>
      <c r="L52" s="524"/>
      <c r="M52" s="545"/>
      <c r="N52" s="524"/>
      <c r="O52" s="495"/>
      <c r="P52" s="495"/>
    </row>
    <row r="53" spans="1:16" s="510" customFormat="1" ht="60" customHeight="1" x14ac:dyDescent="0.3">
      <c r="A53" s="524"/>
      <c r="B53" s="511"/>
      <c r="C53" s="760"/>
      <c r="D53" s="508" t="s">
        <v>31</v>
      </c>
      <c r="E53" s="742" t="str">
        <f>IF(VLOOKUP(CONCATENATE($C$2,"-",$D53),Languages!$A:$D,1,TRUE)=CONCATENATE($C$2,"-",$D53),VLOOKUP(CONCATENATE($C$2,"-",$D53),Languages!$A:$D,Kybermittari!$C$7,TRUE),NA())</f>
        <v>Jatkuvuussuunnitelmissa on määritetty toipumisaika ("RTO, Recovery Time Objective") sekä toipumispiste ("Recovery Point Objective, RPO") toiminnan osa-alueen toimintavarmuuden kannalta tärkeille suojattaville kohteille ja omaisuudelle.</v>
      </c>
      <c r="F53" s="742"/>
      <c r="G53" s="742"/>
      <c r="H53" s="493">
        <f t="shared" si="3"/>
        <v>0</v>
      </c>
      <c r="I53" s="54"/>
      <c r="J53" s="648"/>
      <c r="K53" s="509"/>
      <c r="L53" s="524"/>
      <c r="M53" s="545"/>
      <c r="N53" s="524"/>
      <c r="O53" s="495"/>
      <c r="P53" s="495"/>
    </row>
    <row r="54" spans="1:16" s="510" customFormat="1" ht="61.5" customHeight="1" x14ac:dyDescent="0.3">
      <c r="A54" s="524"/>
      <c r="B54" s="511"/>
      <c r="C54" s="760"/>
      <c r="D54" s="508" t="s">
        <v>247</v>
      </c>
      <c r="E54" s="742" t="str">
        <f>IF(VLOOKUP(CONCATENATE($C$2,"-",$D54),Languages!$A:$D,1,TRUE)=CONCATENATE($C$2,"-",$D54),VLOOKUP(CONCATENATE($C$2,"-",$D54),Languages!$A:$D,Kybermittari!$C$7,TRUE),NA())</f>
        <v>Kyberhäiriöiden osalta on määritetty kriteerit, joiden perusteella jatkuvuussuunnitelmat otetaan käyttöön ja nämä kriteerit on kommunikoitu kyberhäiriöitä tutkiville ja käsitteleville yksiköille ("Incident Reponse") sekä jatkuvuudenhallinnasta vastaaville yksiköille.</v>
      </c>
      <c r="F54" s="742"/>
      <c r="G54" s="742"/>
      <c r="H54" s="493">
        <f t="shared" si="3"/>
        <v>0</v>
      </c>
      <c r="I54" s="54"/>
      <c r="J54" s="648"/>
      <c r="K54" s="509"/>
      <c r="L54" s="524"/>
      <c r="M54" s="545"/>
      <c r="N54" s="524"/>
      <c r="O54" s="495"/>
      <c r="P54" s="495"/>
    </row>
    <row r="55" spans="1:16" s="510" customFormat="1" ht="10" customHeight="1" x14ac:dyDescent="0.3">
      <c r="A55" s="524"/>
      <c r="B55" s="511"/>
      <c r="C55" s="565"/>
      <c r="D55" s="513"/>
      <c r="E55" s="501"/>
      <c r="F55" s="501"/>
      <c r="G55" s="501"/>
      <c r="H55" s="499"/>
      <c r="I55" s="502"/>
      <c r="J55" s="644"/>
      <c r="K55" s="509"/>
      <c r="L55" s="524"/>
      <c r="M55" s="545"/>
      <c r="N55" s="524"/>
      <c r="O55" s="495"/>
      <c r="P55" s="495"/>
    </row>
    <row r="56" spans="1:16" s="510" customFormat="1" ht="47" customHeight="1" x14ac:dyDescent="0.3">
      <c r="A56" s="524"/>
      <c r="B56" s="511"/>
      <c r="C56" s="760">
        <v>3</v>
      </c>
      <c r="D56" s="508" t="s">
        <v>280</v>
      </c>
      <c r="E56" s="742" t="str">
        <f>IF(VLOOKUP(CONCATENATE($C$2,"-",$D56),Languages!$A:$D,1,TRUE)=CONCATENATE($C$2,"-",$D56),VLOOKUP(CONCATENATE($C$2,"-",$D56),Languages!$A:$D,Kybermittari!$C$7,TRUE),NA())</f>
        <v>Jatkuvuussuunnitelmia testataan arvioinneilla ja harjoituksilla organisaation määrittämin aikavälein ja niissä huomioidaan ajankohtaiset kyberuhkaskenaariot.</v>
      </c>
      <c r="F56" s="742"/>
      <c r="G56" s="742"/>
      <c r="H56" s="493">
        <f>IFERROR(INT(LEFT($I56,1)),0)</f>
        <v>0</v>
      </c>
      <c r="I56" s="54"/>
      <c r="J56" s="648"/>
      <c r="K56" s="509"/>
      <c r="L56" s="524"/>
      <c r="M56" s="545"/>
      <c r="N56" s="524"/>
      <c r="O56" s="495"/>
      <c r="P56" s="495"/>
    </row>
    <row r="57" spans="1:16" s="510" customFormat="1" ht="47.5" customHeight="1" x14ac:dyDescent="0.3">
      <c r="A57" s="524"/>
      <c r="B57" s="511"/>
      <c r="C57" s="760"/>
      <c r="D57" s="508" t="s">
        <v>282</v>
      </c>
      <c r="E57" s="742" t="str">
        <f>IF(VLOOKUP(CONCATENATE($C$2,"-",$D57),Languages!$A:$D,1,TRUE)=CONCATENATE($C$2,"-",$D57),VLOOKUP(CONCATENATE($C$2,"-",$D57),Languages!$A:$D,Kybermittari!$C$7,TRUE),NA())</f>
        <v>Jatkuvuussuunnitelmat kattavat kaikki ne riskit ja uhat jotka on tunnistettu organisaation riskitaksonomiassa [kts. RISK-2e] ja uhkaprofiilissa [kts. THREAT-1d].</v>
      </c>
      <c r="F57" s="742"/>
      <c r="G57" s="742"/>
      <c r="H57" s="493">
        <f>IFERROR(INT(LEFT($I57,1)),0)</f>
        <v>0</v>
      </c>
      <c r="I57" s="54"/>
      <c r="J57" s="648"/>
      <c r="K57" s="509"/>
      <c r="L57" s="524"/>
      <c r="M57" s="545"/>
      <c r="N57" s="524"/>
      <c r="O57" s="495"/>
      <c r="P57" s="495"/>
    </row>
    <row r="58" spans="1:16" s="510" customFormat="1" ht="47" customHeight="1" x14ac:dyDescent="0.3">
      <c r="A58" s="524"/>
      <c r="B58" s="511"/>
      <c r="C58" s="760"/>
      <c r="D58" s="508" t="s">
        <v>414</v>
      </c>
      <c r="E58" s="742" t="str">
        <f>IF(VLOOKUP(CONCATENATE($C$2,"-",$D58),Languages!$A:$D,1,TRUE)=CONCATENATE($C$2,"-",$D58),VLOOKUP(CONCATENATE($C$2,"-",$D58),Languages!$A:$D,Kybermittari!$C$7,TRUE),NA())</f>
        <v>Jatkuvuussuunnitelmien testauksesta tai tositilanteista saatuja tuloksia ja kokemuksia verrataan palautumistavoitteisiin ja suunnitelmia parannetaan näiden perusteella.</v>
      </c>
      <c r="F58" s="742"/>
      <c r="G58" s="742"/>
      <c r="H58" s="493">
        <f>IFERROR(INT(LEFT($I58,1)),0)</f>
        <v>0</v>
      </c>
      <c r="I58" s="54"/>
      <c r="J58" s="648"/>
      <c r="K58" s="509"/>
      <c r="L58" s="524"/>
      <c r="M58" s="545"/>
      <c r="N58" s="524"/>
      <c r="O58" s="495"/>
      <c r="P58" s="495"/>
    </row>
    <row r="59" spans="1:16" s="510" customFormat="1" ht="35" customHeight="1" x14ac:dyDescent="0.3">
      <c r="A59" s="524"/>
      <c r="B59" s="511"/>
      <c r="C59" s="760"/>
      <c r="D59" s="508" t="s">
        <v>416</v>
      </c>
      <c r="E59" s="742" t="str">
        <f>IF(VLOOKUP(CONCATENATE($C$2,"-",$D59),Languages!$A:$D,1,TRUE)=CONCATENATE($C$2,"-",$D59),VLOOKUP(CONCATENATE($C$2,"-",$D59),Languages!$A:$D,Kybermittari!$C$7,TRUE),NA())</f>
        <v>Jatkuvuussuunnitelmien sisältö kyberhäiriöiden osalta katselmoidaan ja päivitetään säännöllisesti.</v>
      </c>
      <c r="F59" s="742"/>
      <c r="G59" s="742"/>
      <c r="H59" s="493">
        <f>IFERROR(INT(LEFT($I59,1)),0)</f>
        <v>0</v>
      </c>
      <c r="I59" s="54"/>
      <c r="J59" s="648"/>
      <c r="K59" s="509"/>
      <c r="L59" s="524"/>
      <c r="M59" s="545"/>
      <c r="N59" s="524"/>
      <c r="O59" s="495"/>
      <c r="P59" s="495"/>
    </row>
    <row r="60" spans="1:16" s="510" customFormat="1" ht="35" customHeight="1" x14ac:dyDescent="0.3">
      <c r="A60" s="524"/>
      <c r="B60" s="511"/>
      <c r="C60" s="760"/>
      <c r="D60" s="508" t="s">
        <v>418</v>
      </c>
      <c r="E60" s="742" t="str">
        <f>IF(VLOOKUP(CONCATENATE($C$2,"-",$D60),Languages!$A:$D,1,TRUE)=CONCATENATE($C$2,"-",$D60),VLOOKUP(CONCATENATE($C$2,"-",$D60),Languages!$A:$D,Kybermittari!$C$7,TRUE),NA())</f>
        <v>Jatkuvuussuunnitelmat katselmoidaan ja päivitetään säännöllisesti.</v>
      </c>
      <c r="F60" s="742"/>
      <c r="G60" s="742"/>
      <c r="H60" s="493">
        <f>IFERROR(INT(LEFT($I60,1)),0)</f>
        <v>0</v>
      </c>
      <c r="I60" s="54"/>
      <c r="J60" s="648"/>
      <c r="K60" s="509"/>
      <c r="L60" s="524"/>
      <c r="M60" s="545"/>
      <c r="N60" s="524"/>
      <c r="O60" s="495"/>
      <c r="P60" s="495"/>
    </row>
    <row r="61" spans="1:16" s="343" customFormat="1" ht="30" customHeight="1" x14ac:dyDescent="0.25">
      <c r="A61" s="332"/>
      <c r="B61" s="461"/>
      <c r="C61" s="336">
        <v>4</v>
      </c>
      <c r="D61" s="336" t="str">
        <f>IF(VLOOKUP(CONCATENATE($C$2,"-",C61),Languages!$A:$D,1,TRUE)=CONCATENATE($C$2,"-",C61),VLOOKUP(CONCATENATE($C$2,"-",C61),Languages!$A:$D,Kybermittari!$C$7,TRUE),NA())</f>
        <v>Yleisiä hallintatoimia</v>
      </c>
      <c r="E61" s="336"/>
      <c r="F61" s="506"/>
      <c r="G61" s="506"/>
      <c r="H61" s="506"/>
      <c r="I61" s="506" t="s">
        <v>19</v>
      </c>
      <c r="J61" s="506"/>
      <c r="K61" s="339"/>
      <c r="L61" s="347"/>
      <c r="M61" s="533"/>
      <c r="N61" s="347"/>
      <c r="O61" s="341"/>
      <c r="P61" s="341"/>
    </row>
    <row r="62" spans="1:16" s="475" customFormat="1" ht="47" customHeight="1" x14ac:dyDescent="0.25">
      <c r="A62" s="524"/>
      <c r="B62" s="525"/>
      <c r="C62" s="745" t="str">
        <f>IF(VLOOKUP(CONCATENATE($C$2,"-",$C61,"-0"),Languages!$A:$D,1,TRUE)=CONCATENATE($C$2,"-",$C61,"-0"),VLOOKUP(CONCATENATE($C$2,"-",$C61,"-0"),Languages!$A:$D,Kybermittari!$C$7,TRUE),NA())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2" s="745"/>
      <c r="E62" s="745"/>
      <c r="F62" s="745"/>
      <c r="G62" s="745"/>
      <c r="H62" s="745"/>
      <c r="I62" s="745"/>
      <c r="J62" s="745"/>
      <c r="K62" s="471"/>
      <c r="L62" s="524"/>
      <c r="M62" s="637"/>
      <c r="N62" s="524"/>
      <c r="O62" s="473"/>
      <c r="P62" s="473"/>
    </row>
    <row r="63" spans="1:16" s="547" customFormat="1" ht="20" customHeight="1" x14ac:dyDescent="0.3">
      <c r="A63" s="483"/>
      <c r="B63" s="476"/>
      <c r="C63" s="477" t="str">
        <f>IF(VLOOKUP("GEN-LEVEL",Languages!$A:$D,1,TRUE)="GEN-LEVEL",VLOOKUP("GEN-LEVEL",Languages!$A:$D,Kybermittari!$C$7,TRUE),NA())</f>
        <v>Taso</v>
      </c>
      <c r="D63" s="477"/>
      <c r="E63" s="478" t="str">
        <f>IF(VLOOKUP("GEN-PRACTICE",Languages!$A:$D,1,TRUE)="GEN-PRACTICE",VLOOKUP("GEN-PRACTICE",Languages!$A:$D,Kybermittari!$C$7,TRUE),NA())</f>
        <v>Käytäntö</v>
      </c>
      <c r="F63" s="479"/>
      <c r="G63" s="480"/>
      <c r="H63" s="481"/>
      <c r="I63" s="478" t="str">
        <f>IF(VLOOKUP("GEN-ANSWER",Languages!$A:$D,1,TRUE)="GEN-ANSWER",VLOOKUP("GEN-ANSWER",Languages!$A:$D,Kybermittari!$C$7,TRUE),NA())</f>
        <v>Vastaus</v>
      </c>
      <c r="J63" s="477" t="str">
        <f>IF(VLOOKUP("GEN-COMMENT",Languages!$A:$D,1,TRUE)="GEN-COMMENT",VLOOKUP("GEN-COMMENT",Languages!$A:$D,Kybermittari!$C$7,TRUE),NA())</f>
        <v>Kommentti ja viittaukset</v>
      </c>
      <c r="K63" s="482"/>
      <c r="L63" s="524"/>
      <c r="M63" s="637"/>
      <c r="N63" s="524"/>
      <c r="O63" s="473"/>
      <c r="P63" s="546"/>
    </row>
    <row r="64" spans="1:16" s="547" customFormat="1" ht="10" customHeight="1" x14ac:dyDescent="0.3">
      <c r="A64" s="483"/>
      <c r="B64" s="476"/>
      <c r="C64" s="477"/>
      <c r="D64" s="487"/>
      <c r="E64" s="488"/>
      <c r="F64" s="489"/>
      <c r="G64" s="490"/>
      <c r="H64" s="491"/>
      <c r="I64" s="488"/>
      <c r="J64" s="487"/>
      <c r="K64" s="482"/>
      <c r="L64" s="524"/>
      <c r="M64" s="637"/>
      <c r="N64" s="524"/>
      <c r="O64" s="473"/>
      <c r="P64" s="546"/>
    </row>
    <row r="65" spans="1:16" s="547" customFormat="1" ht="20" customHeight="1" x14ac:dyDescent="0.3">
      <c r="A65" s="483"/>
      <c r="B65" s="476"/>
      <c r="C65" s="557">
        <v>1</v>
      </c>
      <c r="D65" s="558"/>
      <c r="E65" s="559"/>
      <c r="F65" s="560"/>
      <c r="G65" s="561"/>
      <c r="H65" s="562"/>
      <c r="I65" s="559"/>
      <c r="J65" s="563"/>
      <c r="K65" s="482"/>
      <c r="L65" s="524"/>
      <c r="M65" s="637"/>
      <c r="N65" s="524"/>
      <c r="O65" s="473"/>
      <c r="P65" s="546"/>
    </row>
    <row r="66" spans="1:16" s="547" customFormat="1" ht="10" customHeight="1" x14ac:dyDescent="0.3">
      <c r="A66" s="483"/>
      <c r="B66" s="476"/>
      <c r="C66" s="487"/>
      <c r="D66" s="487"/>
      <c r="E66" s="488"/>
      <c r="F66" s="489"/>
      <c r="G66" s="490"/>
      <c r="H66" s="491"/>
      <c r="I66" s="502"/>
      <c r="J66" s="487"/>
      <c r="K66" s="482"/>
      <c r="L66" s="524"/>
      <c r="M66" s="637"/>
      <c r="N66" s="524"/>
      <c r="O66" s="473"/>
      <c r="P66" s="546"/>
    </row>
    <row r="67" spans="1:16" s="510" customFormat="1" ht="35" customHeight="1" x14ac:dyDescent="0.25">
      <c r="A67" s="524"/>
      <c r="B67" s="741"/>
      <c r="C67" s="760">
        <v>2</v>
      </c>
      <c r="D67" s="508" t="s">
        <v>126</v>
      </c>
      <c r="E67" s="742" t="str">
        <f>IF(VLOOKUP(CONCATENATE($C$2,"-",$D67),Languages!$A:$D,1,TRUE)=CONCATENATE($C$2,"-",$D67),VLOOKUP(CONCATENATE($C$2,"-",$D67),Languages!$A:$D,Kybermittari!$C$7,TRUE),NA())</f>
        <v>Kyberturvallisuusohjelman (PROGRAM) osioon liittyen on määritetty dokumentoidut käytännöt, joita noudatetaan ja pidetään yllä.</v>
      </c>
      <c r="F67" s="742"/>
      <c r="G67" s="742"/>
      <c r="H67" s="493">
        <f>IFERROR(INT(LEFT($I67,1)),0)</f>
        <v>0</v>
      </c>
      <c r="I67" s="54"/>
      <c r="J67" s="648"/>
      <c r="K67" s="509"/>
      <c r="L67" s="524"/>
      <c r="M67" s="637"/>
      <c r="N67" s="524"/>
      <c r="O67" s="473"/>
      <c r="P67" s="495"/>
    </row>
    <row r="68" spans="1:16" s="510" customFormat="1" ht="35" customHeight="1" x14ac:dyDescent="0.25">
      <c r="A68" s="524"/>
      <c r="B68" s="741"/>
      <c r="C68" s="760"/>
      <c r="D68" s="508" t="s">
        <v>129</v>
      </c>
      <c r="E68" s="742" t="str">
        <f>IF(VLOOKUP(CONCATENATE($C$2,"-",$D68),Languages!$A:$D,1,TRUE)=CONCATENATE($C$2,"-",$D68),VLOOKUP(CONCATENATE($C$2,"-",$D68),Languages!$A:$D,Kybermittari!$C$7,TRUE),NA())</f>
        <v>Kyberturvallisuusohjelman (PROGRAM) osion toimintaan on saatavilla riittävät resurssit (henkilöstö, rahoitus ja työkalut).</v>
      </c>
      <c r="F68" s="742"/>
      <c r="G68" s="742"/>
      <c r="H68" s="493">
        <f>IFERROR(INT(LEFT($I68,1)),0)</f>
        <v>0</v>
      </c>
      <c r="I68" s="54"/>
      <c r="J68" s="648"/>
      <c r="K68" s="509"/>
      <c r="L68" s="524"/>
      <c r="M68" s="637"/>
      <c r="N68" s="524"/>
      <c r="O68" s="473"/>
      <c r="P68" s="495"/>
    </row>
    <row r="69" spans="1:16" s="510" customFormat="1" ht="35" customHeight="1" x14ac:dyDescent="0.25">
      <c r="A69" s="524"/>
      <c r="B69" s="741"/>
      <c r="C69" s="760"/>
      <c r="D69" s="508" t="s">
        <v>132</v>
      </c>
      <c r="E69" s="742" t="str">
        <f>IF(VLOOKUP(CONCATENATE($C$2,"-",$D69),Languages!$A:$D,1,TRUE)=CONCATENATE($C$2,"-",$D69),VLOOKUP(CONCATENATE($C$2,"-",$D69),Languages!$A:$D,Kybermittari!$C$7,TRUE),NA())</f>
        <v>Kyberturvallisuusohjelman (PROGRAM) osion toimintaa suorittavilla työntekijöillä on riittävät tiedot ja taidot tehtäviensä suorittamiseen.</v>
      </c>
      <c r="F69" s="742"/>
      <c r="G69" s="742"/>
      <c r="H69" s="493">
        <f>IFERROR(INT(LEFT($I69,1)),0)</f>
        <v>0</v>
      </c>
      <c r="I69" s="54"/>
      <c r="J69" s="648"/>
      <c r="K69" s="509"/>
      <c r="L69" s="524"/>
      <c r="M69" s="637"/>
      <c r="N69" s="524"/>
      <c r="O69" s="473"/>
      <c r="P69" s="495"/>
    </row>
    <row r="70" spans="1:16" s="510" customFormat="1" ht="35" customHeight="1" x14ac:dyDescent="0.25">
      <c r="A70" s="524"/>
      <c r="B70" s="741"/>
      <c r="C70" s="760"/>
      <c r="D70" s="508" t="s">
        <v>135</v>
      </c>
      <c r="E70" s="742" t="str">
        <f>IF(VLOOKUP(CONCATENATE($C$2,"-",$D70),Languages!$A:$D,1,TRUE)=CONCATENATE($C$2,"-",$D70),VLOOKUP(CONCATENATE($C$2,"-",$D70),Languages!$A:$D,Kybermittari!$C$7,TRUE),NA())</f>
        <v>Kyberturvallisuusohjelman (PROGRAM) osion toiminnan suorittamiseen liittyvät vastuut ja valtuudet on osoitettu nimetyille työntekijöille.</v>
      </c>
      <c r="F70" s="742"/>
      <c r="G70" s="742"/>
      <c r="H70" s="493">
        <f>IFERROR(INT(LEFT($I70,1)),0)</f>
        <v>0</v>
      </c>
      <c r="I70" s="54"/>
      <c r="J70" s="648"/>
      <c r="K70" s="509"/>
      <c r="L70" s="524"/>
      <c r="M70" s="637"/>
      <c r="N70" s="524"/>
      <c r="O70" s="473"/>
      <c r="P70" s="495"/>
    </row>
    <row r="71" spans="1:16" s="510" customFormat="1" ht="10" customHeight="1" x14ac:dyDescent="0.25">
      <c r="A71" s="524"/>
      <c r="B71" s="741"/>
      <c r="C71" s="565"/>
      <c r="D71" s="513"/>
      <c r="E71" s="501"/>
      <c r="F71" s="501"/>
      <c r="G71" s="501"/>
      <c r="H71" s="499"/>
      <c r="I71" s="502"/>
      <c r="J71" s="644"/>
      <c r="K71" s="509"/>
      <c r="L71" s="524"/>
      <c r="M71" s="637"/>
      <c r="N71" s="524"/>
      <c r="O71" s="473"/>
      <c r="P71" s="495"/>
    </row>
    <row r="72" spans="1:16" s="510" customFormat="1" ht="60.5" customHeight="1" x14ac:dyDescent="0.25">
      <c r="A72" s="524"/>
      <c r="B72" s="741"/>
      <c r="C72" s="760">
        <v>3</v>
      </c>
      <c r="D72" s="508" t="s">
        <v>138</v>
      </c>
      <c r="E72" s="742" t="str">
        <f>IF(VLOOKUP(CONCATENATE($C$2,"-",$D72),Languages!$A:$D,1,TRUE)=CONCATENATE($C$2,"-",$D72),VLOOKUP(CONCATENATE($C$2,"-",$D72),Languages!$A:$D,Kybermittari!$C$7,TRUE),NA())</f>
        <v>Kyberturvallisuusohjelman (PROGRAM) osion toiminta perustuu organisaation määrittämään ja ylläpitämään johtotason politiikkaan (tai vastaavaan ohjeistukseen), jossa asetetaan nimenomaisia vaatimuksia tämän osion toiminnalle.</v>
      </c>
      <c r="F72" s="742"/>
      <c r="G72" s="742"/>
      <c r="H72" s="493">
        <f>IFERROR(INT(LEFT($I72,1)),0)</f>
        <v>0</v>
      </c>
      <c r="I72" s="54"/>
      <c r="J72" s="648"/>
      <c r="K72" s="509"/>
      <c r="L72" s="524"/>
      <c r="M72" s="637"/>
      <c r="N72" s="524"/>
      <c r="O72" s="473"/>
      <c r="P72" s="495"/>
    </row>
    <row r="73" spans="1:16" s="510" customFormat="1" ht="35" customHeight="1" x14ac:dyDescent="0.25">
      <c r="A73" s="524"/>
      <c r="B73" s="741"/>
      <c r="C73" s="760"/>
      <c r="D73" s="508" t="s">
        <v>140</v>
      </c>
      <c r="E73" s="742" t="str">
        <f>IF(VLOOKUP(CONCATENATE($C$2,"-",$D73),Languages!$A:$D,1,TRUE)=CONCATENATE($C$2,"-",$D73),VLOOKUP(CONCATENATE($C$2,"-",$D73),Languages!$A:$D,Kybermittari!$C$7,TRUE),NA())</f>
        <v>Kyberturvallisuusohjelman (PROGRAM) osion toiminnalle on määritetty suoriutumistavoitteet, joiden toteutumista seurataan [kts. PROGRAM-1b].</v>
      </c>
      <c r="F73" s="742"/>
      <c r="G73" s="742"/>
      <c r="H73" s="493">
        <f>IFERROR(INT(LEFT($I73,1)),0)</f>
        <v>0</v>
      </c>
      <c r="I73" s="54"/>
      <c r="J73" s="648"/>
      <c r="K73" s="509"/>
      <c r="L73" s="524"/>
      <c r="M73" s="637"/>
      <c r="N73" s="524"/>
      <c r="O73" s="473"/>
      <c r="P73" s="495"/>
    </row>
    <row r="74" spans="1:16" s="510" customFormat="1" ht="35" customHeight="1" x14ac:dyDescent="0.25">
      <c r="A74" s="524"/>
      <c r="B74" s="741"/>
      <c r="C74" s="760"/>
      <c r="D74" s="508" t="s">
        <v>255</v>
      </c>
      <c r="E74" s="742" t="str">
        <f>IF(VLOOKUP(CONCATENATE($C$2,"-",$D74),Languages!$A:$D,1,TRUE)=CONCATENATE($C$2,"-",$D74),VLOOKUP(CONCATENATE($C$2,"-",$D74),Languages!$A:$D,Kybermittari!$C$7,TRUE),NA())</f>
        <v>Kyberturvallisuusohjelman (PROGRAM) osioon liittyvät käytännöt on standardoitu läpi koko organisaation ja niitä kehitetään aktiivisesti.</v>
      </c>
      <c r="F74" s="742"/>
      <c r="G74" s="742"/>
      <c r="H74" s="493">
        <f>IFERROR(INT(LEFT($I74,1)),0)</f>
        <v>0</v>
      </c>
      <c r="I74" s="54"/>
      <c r="J74" s="648"/>
      <c r="K74" s="509"/>
      <c r="L74" s="524"/>
      <c r="M74" s="637"/>
      <c r="N74" s="524"/>
      <c r="O74" s="473"/>
      <c r="P74" s="495"/>
    </row>
    <row r="75" spans="1:16" x14ac:dyDescent="0.25">
      <c r="A75" s="347"/>
      <c r="B75" s="619"/>
      <c r="C75" s="620"/>
      <c r="D75" s="621"/>
      <c r="E75" s="622"/>
      <c r="F75" s="622"/>
      <c r="G75" s="622"/>
      <c r="H75" s="623"/>
      <c r="I75" s="624"/>
      <c r="J75" s="622"/>
      <c r="K75" s="626"/>
      <c r="L75" s="347"/>
      <c r="M75" s="638"/>
      <c r="N75" s="347"/>
    </row>
    <row r="76" spans="1:16" x14ac:dyDescent="0.25">
      <c r="A76" s="347"/>
      <c r="B76" s="347"/>
      <c r="C76" s="347"/>
      <c r="D76" s="347"/>
      <c r="E76" s="347"/>
      <c r="F76" s="347"/>
      <c r="G76" s="347"/>
      <c r="H76" s="627"/>
      <c r="I76" s="347"/>
      <c r="J76" s="647"/>
      <c r="K76" s="347"/>
      <c r="L76" s="347"/>
      <c r="M76" s="638"/>
      <c r="N76" s="347"/>
    </row>
  </sheetData>
  <sheetProtection sheet="1" objects="1" scenarios="1"/>
  <mergeCells count="60">
    <mergeCell ref="E57:G57"/>
    <mergeCell ref="E58:G58"/>
    <mergeCell ref="C67:C70"/>
    <mergeCell ref="C72:C74"/>
    <mergeCell ref="C5:J5"/>
    <mergeCell ref="E51:G51"/>
    <mergeCell ref="E59:G59"/>
    <mergeCell ref="E60:G60"/>
    <mergeCell ref="C46:C47"/>
    <mergeCell ref="C49:C54"/>
    <mergeCell ref="C56:C60"/>
    <mergeCell ref="E52:G52"/>
    <mergeCell ref="E53:G53"/>
    <mergeCell ref="E54:G54"/>
    <mergeCell ref="E39:G39"/>
    <mergeCell ref="C43:J43"/>
    <mergeCell ref="E46:G46"/>
    <mergeCell ref="E47:G47"/>
    <mergeCell ref="E49:G49"/>
    <mergeCell ref="E56:G56"/>
    <mergeCell ref="E50:G50"/>
    <mergeCell ref="B73:B74"/>
    <mergeCell ref="E73:G73"/>
    <mergeCell ref="E74:G74"/>
    <mergeCell ref="C16:C21"/>
    <mergeCell ref="E21:G21"/>
    <mergeCell ref="C28:C29"/>
    <mergeCell ref="C31:C36"/>
    <mergeCell ref="C38:C41"/>
    <mergeCell ref="C62:J62"/>
    <mergeCell ref="B67:B72"/>
    <mergeCell ref="E67:G67"/>
    <mergeCell ref="E68:G68"/>
    <mergeCell ref="E70:G70"/>
    <mergeCell ref="E72:G72"/>
    <mergeCell ref="E32:G32"/>
    <mergeCell ref="E33:G33"/>
    <mergeCell ref="E29:G29"/>
    <mergeCell ref="E34:G34"/>
    <mergeCell ref="E40:G40"/>
    <mergeCell ref="E41:G41"/>
    <mergeCell ref="E35:G35"/>
    <mergeCell ref="E36:G36"/>
    <mergeCell ref="E38:G38"/>
    <mergeCell ref="E69:G69"/>
    <mergeCell ref="B31:B41"/>
    <mergeCell ref="E31:G31"/>
    <mergeCell ref="C11:J11"/>
    <mergeCell ref="B14:B16"/>
    <mergeCell ref="E14:G14"/>
    <mergeCell ref="E16:G16"/>
    <mergeCell ref="B17:B20"/>
    <mergeCell ref="E17:G17"/>
    <mergeCell ref="E18:G18"/>
    <mergeCell ref="E19:G19"/>
    <mergeCell ref="E20:G20"/>
    <mergeCell ref="E23:G23"/>
    <mergeCell ref="C25:J25"/>
    <mergeCell ref="B28:B29"/>
    <mergeCell ref="E28:G28"/>
  </mergeCells>
  <conditionalFormatting sqref="H65">
    <cfRule type="containsText" dxfId="48" priority="5" operator="containsText" text="0">
      <formula>NOT(ISERROR(SEARCH("0",H65)))</formula>
    </cfRule>
  </conditionalFormatting>
  <conditionalFormatting sqref="H1:H1048576">
    <cfRule type="containsText" dxfId="47"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645A96C2-A06B-4213-9C4F-BB287D7E49C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H65</xm:sqref>
        </x14:conditionalFormatting>
        <x14:conditionalFormatting xmlns:xm="http://schemas.microsoft.com/office/excel/2006/main">
          <x14:cfRule type="iconSet" priority="4" id="{68D6A089-3EC8-41EC-8795-097A48DF224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I16:I21 I23 I28:I29 I31:I36 I38:I41 I46:I47 I49:I54 I56:I60 I67:I70 I72:I74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59999389629810485"/>
  </sheetPr>
  <dimension ref="A1:R22"/>
  <sheetViews>
    <sheetView showGridLines="0" zoomScaleNormal="100" workbookViewId="0">
      <selection activeCell="J15" sqref="J15"/>
    </sheetView>
  </sheetViews>
  <sheetFormatPr defaultColWidth="9.28515625" defaultRowHeight="11.5" x14ac:dyDescent="0.25"/>
  <cols>
    <col min="1" max="2" width="1.640625" style="303" customWidth="1"/>
    <col min="3" max="3" width="2.640625" style="303" customWidth="1"/>
    <col min="4" max="4" width="2.640625" style="518" customWidth="1"/>
    <col min="5" max="5" width="40.640625" style="518" customWidth="1"/>
    <col min="6" max="8" width="12.640625" style="301" customWidth="1"/>
    <col min="9" max="9" width="13.140625" style="301" customWidth="1"/>
    <col min="10" max="10" width="12.640625" style="670" customWidth="1"/>
    <col min="11" max="12" width="12.640625" style="301" customWidth="1"/>
    <col min="13" max="13" width="1.640625" style="303" customWidth="1"/>
    <col min="14" max="14" width="1.640625" style="521" customWidth="1"/>
    <col min="15" max="15" width="1.640625" style="671" customWidth="1"/>
    <col min="16" max="16" width="1.35546875" style="521" customWidth="1"/>
    <col min="17" max="18" width="9.0703125" style="301" customWidth="1"/>
    <col min="19" max="19" width="9.0703125" style="303" customWidth="1"/>
    <col min="20" max="16384" width="9.28515625" style="303"/>
  </cols>
  <sheetData>
    <row r="1" spans="1:18" x14ac:dyDescent="0.25">
      <c r="A1" s="297"/>
      <c r="B1" s="297"/>
      <c r="C1" s="297"/>
      <c r="D1" s="297"/>
      <c r="E1" s="297"/>
      <c r="F1" s="297"/>
      <c r="G1" s="297"/>
      <c r="H1" s="297"/>
      <c r="I1" s="297"/>
      <c r="J1" s="297"/>
      <c r="K1" s="297"/>
      <c r="L1" s="297"/>
      <c r="M1" s="297"/>
      <c r="N1" s="297"/>
      <c r="O1" s="300"/>
      <c r="P1" s="297"/>
    </row>
    <row r="2" spans="1:18" s="448" customFormat="1" ht="25" customHeight="1" x14ac:dyDescent="0.2">
      <c r="A2" s="441"/>
      <c r="B2" s="305"/>
      <c r="C2" s="650" t="s">
        <v>1585</v>
      </c>
      <c r="D2" s="308"/>
      <c r="E2" s="308"/>
      <c r="F2" s="444"/>
      <c r="G2" s="308"/>
      <c r="H2" s="308"/>
      <c r="I2" s="308"/>
      <c r="J2" s="308"/>
      <c r="K2" s="308"/>
      <c r="L2" s="308"/>
      <c r="M2" s="310"/>
      <c r="N2" s="441"/>
      <c r="O2" s="445"/>
      <c r="P2" s="441"/>
      <c r="Q2" s="446"/>
      <c r="R2" s="446"/>
    </row>
    <row r="3" spans="1:18" ht="25" customHeight="1" x14ac:dyDescent="0.35">
      <c r="A3" s="297"/>
      <c r="B3" s="323"/>
      <c r="C3" s="321" t="str">
        <f>IF(VLOOKUP($C$2,Languages!$A:$D,1,TRUE)=$C$2,VLOOKUP($C$2,Languages!$A:$D,Kybermittari!$C$7,TRUE),NA())</f>
        <v>Kyberturvallisuuden investointien taso</v>
      </c>
      <c r="D3" s="449"/>
      <c r="E3" s="449"/>
      <c r="F3" s="651"/>
      <c r="G3" s="606"/>
      <c r="H3" s="652"/>
      <c r="I3" s="606"/>
      <c r="J3" s="606"/>
      <c r="K3" s="606"/>
      <c r="L3" s="606"/>
      <c r="M3" s="327"/>
      <c r="N3" s="297"/>
      <c r="O3" s="445"/>
      <c r="P3" s="297"/>
    </row>
    <row r="4" spans="1:18" ht="10" customHeight="1" x14ac:dyDescent="0.2">
      <c r="A4" s="297"/>
      <c r="B4" s="323"/>
      <c r="C4" s="455"/>
      <c r="D4" s="325"/>
      <c r="E4" s="325"/>
      <c r="F4" s="325"/>
      <c r="G4" s="325"/>
      <c r="H4" s="325"/>
      <c r="I4" s="325"/>
      <c r="J4" s="325"/>
      <c r="K4" s="325"/>
      <c r="L4" s="453"/>
      <c r="M4" s="327"/>
      <c r="N4" s="297"/>
      <c r="O4" s="445"/>
      <c r="P4" s="297"/>
    </row>
    <row r="5" spans="1:18" ht="80" customHeight="1" x14ac:dyDescent="0.2">
      <c r="A5" s="297"/>
      <c r="B5" s="323"/>
      <c r="C5" s="765" t="str">
        <f>IF(VLOOKUP("INVEST-02",Languages!$A:$D,1,TRUE)="INVEST-02",VLOOKUP("INVEST-02",Languages!$A:$D,Kybermittari!$C$7,TRUE),NA())</f>
        <v>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Sarakkeeseen "Suunniteltu" voit syöttää arvioimasi kulut/investoinnit seuraavien 12 kk aikana. Mikäli summat eivät ole vielä tiedossa, mutta tiedät mihin kategorioihin aiotaan panostaa, voit merkitä kategoriat "x"-merkillä.</v>
      </c>
      <c r="D5" s="765"/>
      <c r="E5" s="765"/>
      <c r="F5" s="765"/>
      <c r="G5" s="765"/>
      <c r="H5" s="765"/>
      <c r="I5" s="765"/>
      <c r="J5" s="765"/>
      <c r="K5" s="765"/>
      <c r="L5" s="765"/>
      <c r="M5" s="327"/>
      <c r="N5" s="297"/>
      <c r="O5" s="445"/>
      <c r="P5" s="297"/>
    </row>
    <row r="6" spans="1:18" s="343" customFormat="1" ht="5" customHeight="1" thickBot="1" x14ac:dyDescent="0.35">
      <c r="A6" s="332"/>
      <c r="B6" s="461"/>
      <c r="C6" s="653"/>
      <c r="D6" s="653"/>
      <c r="E6" s="653"/>
      <c r="F6" s="654"/>
      <c r="G6" s="655"/>
      <c r="H6" s="655"/>
      <c r="I6" s="655"/>
      <c r="J6" s="656"/>
      <c r="K6" s="656"/>
      <c r="L6" s="655"/>
      <c r="M6" s="466"/>
      <c r="N6" s="467"/>
      <c r="O6" s="657"/>
      <c r="P6" s="332"/>
      <c r="Q6" s="341"/>
      <c r="R6" s="341"/>
    </row>
    <row r="7" spans="1:18" s="343" customFormat="1" ht="30" customHeight="1" x14ac:dyDescent="0.25">
      <c r="A7" s="332"/>
      <c r="B7" s="461"/>
      <c r="C7" s="770" t="str">
        <f>IF(VLOOKUP("INVEST-03",Languages!$A:$D,1,TRUE)="INVEST-03",VLOOKUP("INVEST-03",Languages!$A:$D,Kybermittari!$C$7,TRUE),NA())</f>
        <v>Kategoria</v>
      </c>
      <c r="D7" s="770"/>
      <c r="E7" s="770"/>
      <c r="F7" s="658" t="str">
        <f>IF(VLOOKUP("INVEST-04",Languages!$A:$D,1,TRUE)="INVEST-04",VLOOKUP("INVEST-04",Languages!$A:$D,Kybermittari!$C$7,TRUE),NA())</f>
        <v>Henkilöstö (sisäinen)</v>
      </c>
      <c r="G7" s="658" t="str">
        <f>IF(VLOOKUP("INVEST-05",Languages!$A:$D,1,TRUE)="INVEST-05",VLOOKUP("INVEST-05",Languages!$A:$D,Kybermittari!$C$7,TRUE),NA())</f>
        <v>Konsultointi</v>
      </c>
      <c r="H7" s="658" t="str">
        <f>IF(VLOOKUP("INVEST-06",Languages!$A:$D,1,TRUE)="INVEST-06",VLOOKUP("INVEST-06",Languages!$A:$D,Kybermittari!$C$7,TRUE),NA())</f>
        <v>Palvelut</v>
      </c>
      <c r="I7" s="658" t="str">
        <f>IF(VLOOKUP("INVEST-07",Languages!$A:$D,1,TRUE)="INVEST-07",VLOOKUP("INVEST-07",Languages!$A:$D,Kybermittari!$C$7,TRUE),NA())</f>
        <v>Ohjelmisto-lisenssit</v>
      </c>
      <c r="J7" s="658" t="str">
        <f>IF(VLOOKUP("INVEST-08",Languages!$A:$D,1,TRUE)="INVEST-08",VLOOKUP("INVEST-08",Languages!$A:$D,Kybermittari!$C$7,TRUE),NA())</f>
        <v>Laite-investoinnit</v>
      </c>
      <c r="K7" s="481" t="str">
        <f>IF(VLOOKUP("INVEST-09",Languages!$A:$D,1,TRUE)="INVEST-09",VLOOKUP("INVEST-09",Languages!$A:$D,Kybermittari!$C$7,TRUE),NA())</f>
        <v>Yhteensä</v>
      </c>
      <c r="L7" s="659" t="str">
        <f>IF(VLOOKUP("INVEST-10",Languages!$A:$D,1,TRUE)="INVEST-10",VLOOKUP("INVEST-10",Languages!$A:$D,Kybermittari!$C$7,TRUE),NA())</f>
        <v>Suunniteltu</v>
      </c>
      <c r="M7" s="466"/>
      <c r="N7" s="467"/>
      <c r="O7" s="445"/>
      <c r="P7" s="332"/>
      <c r="Q7" s="341"/>
      <c r="R7" s="341"/>
    </row>
    <row r="8" spans="1:18" s="343" customFormat="1" ht="30" customHeight="1" x14ac:dyDescent="0.25">
      <c r="A8" s="332"/>
      <c r="B8" s="660" t="s">
        <v>60</v>
      </c>
      <c r="C8" s="771" t="str">
        <f>IF(VLOOKUP($B8,Languages!$A:$D,1,TRUE)=$B8,VLOOKUP($B8,Languages!$A:$D,Kybermittari!$C$7,TRUE),NA())</f>
        <v>Kriittisten palveluiden suojaaminen</v>
      </c>
      <c r="D8" s="772"/>
      <c r="E8" s="772"/>
      <c r="F8" s="672"/>
      <c r="G8" s="672"/>
      <c r="H8" s="672"/>
      <c r="I8" s="672"/>
      <c r="J8" s="672"/>
      <c r="K8" s="661">
        <f>SUM(F8:J8)</f>
        <v>0</v>
      </c>
      <c r="L8" s="672"/>
      <c r="M8" s="466"/>
      <c r="N8" s="467"/>
      <c r="O8" s="445"/>
      <c r="P8" s="332"/>
      <c r="Q8" s="341"/>
      <c r="R8" s="341"/>
    </row>
    <row r="9" spans="1:18" s="343" customFormat="1" ht="30" customHeight="1" x14ac:dyDescent="0.25">
      <c r="A9" s="332"/>
      <c r="B9" s="660" t="s">
        <v>0</v>
      </c>
      <c r="C9" s="768" t="str">
        <f>IF(VLOOKUP($B9,Languages!$A:$D,1,TRUE)=$B9,VLOOKUP($B9,Languages!$A:$D,Kybermittari!$C$7,TRUE),NA())</f>
        <v>Riskienhallinta</v>
      </c>
      <c r="D9" s="768"/>
      <c r="E9" s="768"/>
      <c r="F9" s="672"/>
      <c r="G9" s="672"/>
      <c r="H9" s="672"/>
      <c r="I9" s="672"/>
      <c r="J9" s="672"/>
      <c r="K9" s="661">
        <f t="shared" ref="K9:K18" si="0">SUM(F9:J9)</f>
        <v>0</v>
      </c>
      <c r="L9" s="672"/>
      <c r="M9" s="466"/>
      <c r="N9" s="467"/>
      <c r="O9" s="445"/>
      <c r="P9" s="332"/>
      <c r="Q9" s="341"/>
      <c r="R9" s="341"/>
    </row>
    <row r="10" spans="1:18" s="343" customFormat="1" ht="30" customHeight="1" x14ac:dyDescent="0.25">
      <c r="A10" s="332"/>
      <c r="B10" s="660" t="s">
        <v>51</v>
      </c>
      <c r="C10" s="768" t="str">
        <f>IF(VLOOKUP($B10,Languages!$A:$D,1,TRUE)=$B10,VLOOKUP($B10,Languages!$A:$D,Kybermittari!$C$7,TRUE),NA())</f>
        <v>Omaisuuden, muutoksen ja konfiguraation hallinta</v>
      </c>
      <c r="D10" s="768"/>
      <c r="E10" s="768"/>
      <c r="F10" s="673"/>
      <c r="G10" s="673"/>
      <c r="H10" s="673"/>
      <c r="I10" s="673"/>
      <c r="J10" s="673"/>
      <c r="K10" s="661">
        <f t="shared" si="0"/>
        <v>0</v>
      </c>
      <c r="L10" s="673"/>
      <c r="M10" s="466"/>
      <c r="N10" s="467"/>
      <c r="O10" s="445"/>
      <c r="P10" s="332"/>
      <c r="Q10" s="341"/>
      <c r="R10" s="341"/>
    </row>
    <row r="11" spans="1:18" s="343" customFormat="1" ht="30" customHeight="1" x14ac:dyDescent="0.25">
      <c r="A11" s="332"/>
      <c r="B11" s="660" t="s">
        <v>64</v>
      </c>
      <c r="C11" s="768" t="str">
        <f>IF(VLOOKUP($B11,Languages!$A:$D,1,TRUE)=$B11,VLOOKUP($B11,Languages!$A:$D,Kybermittari!$C$7,TRUE),NA())</f>
        <v>Identiteetin- ja pääsynhallinta</v>
      </c>
      <c r="D11" s="768"/>
      <c r="E11" s="768"/>
      <c r="F11" s="673"/>
      <c r="G11" s="673"/>
      <c r="H11" s="673"/>
      <c r="I11" s="673"/>
      <c r="J11" s="673"/>
      <c r="K11" s="661">
        <f t="shared" si="0"/>
        <v>0</v>
      </c>
      <c r="L11" s="673"/>
      <c r="M11" s="466"/>
      <c r="N11" s="467"/>
      <c r="O11" s="445"/>
      <c r="P11" s="332"/>
      <c r="Q11" s="341"/>
      <c r="R11" s="341"/>
    </row>
    <row r="12" spans="1:18" s="343" customFormat="1" ht="30" customHeight="1" x14ac:dyDescent="0.25">
      <c r="A12" s="332"/>
      <c r="B12" s="660" t="s">
        <v>69</v>
      </c>
      <c r="C12" s="768" t="str">
        <f>IF(VLOOKUP($B12,Languages!$A:$D,1,TRUE)=$B12,VLOOKUP($B12,Languages!$A:$D,Kybermittari!$C$7,TRUE),NA())</f>
        <v>Uhkien ja haavoittuvuuksien hallinta</v>
      </c>
      <c r="D12" s="768"/>
      <c r="E12" s="768"/>
      <c r="F12" s="673"/>
      <c r="G12" s="673"/>
      <c r="H12" s="673"/>
      <c r="I12" s="673"/>
      <c r="J12" s="673"/>
      <c r="K12" s="661">
        <f t="shared" si="0"/>
        <v>0</v>
      </c>
      <c r="L12" s="673"/>
      <c r="M12" s="466"/>
      <c r="N12" s="467"/>
      <c r="O12" s="445"/>
      <c r="P12" s="332"/>
      <c r="Q12" s="341"/>
      <c r="R12" s="341"/>
    </row>
    <row r="13" spans="1:18" s="343" customFormat="1" ht="30" customHeight="1" x14ac:dyDescent="0.25">
      <c r="A13" s="332"/>
      <c r="B13" s="660" t="s">
        <v>72</v>
      </c>
      <c r="C13" s="768" t="str">
        <f>IF(VLOOKUP($B13,Languages!$A:$D,1,TRUE)=$B13,VLOOKUP($B13,Languages!$A:$D,Kybermittari!$C$7,TRUE),NA())</f>
        <v>Tilannekuva</v>
      </c>
      <c r="D13" s="768"/>
      <c r="E13" s="768"/>
      <c r="F13" s="673"/>
      <c r="G13" s="673"/>
      <c r="H13" s="673"/>
      <c r="I13" s="673"/>
      <c r="J13" s="673"/>
      <c r="K13" s="661">
        <f t="shared" si="0"/>
        <v>0</v>
      </c>
      <c r="L13" s="673"/>
      <c r="M13" s="466"/>
      <c r="N13" s="467"/>
      <c r="O13" s="445"/>
      <c r="P13" s="332"/>
      <c r="Q13" s="341"/>
      <c r="R13" s="341"/>
    </row>
    <row r="14" spans="1:18" s="343" customFormat="1" ht="30" customHeight="1" x14ac:dyDescent="0.25">
      <c r="A14" s="332"/>
      <c r="B14" s="660" t="s">
        <v>74</v>
      </c>
      <c r="C14" s="768" t="str">
        <f>IF(VLOOKUP($B14,Languages!$A:$D,1,TRUE)=$B14,VLOOKUP($B14,Languages!$A:$D,Kybermittari!$C$7,TRUE),NA())</f>
        <v>Tapahtumien ja häiriötilanteiden hallinta</v>
      </c>
      <c r="D14" s="768"/>
      <c r="E14" s="768"/>
      <c r="F14" s="673"/>
      <c r="G14" s="673"/>
      <c r="H14" s="673"/>
      <c r="I14" s="673"/>
      <c r="J14" s="673"/>
      <c r="K14" s="661">
        <f t="shared" si="0"/>
        <v>0</v>
      </c>
      <c r="L14" s="673"/>
      <c r="M14" s="466"/>
      <c r="N14" s="467"/>
      <c r="O14" s="445"/>
      <c r="P14" s="332"/>
      <c r="Q14" s="341"/>
      <c r="R14" s="341"/>
    </row>
    <row r="15" spans="1:18" s="343" customFormat="1" ht="30" customHeight="1" x14ac:dyDescent="0.25">
      <c r="A15" s="332"/>
      <c r="B15" s="660" t="s">
        <v>77</v>
      </c>
      <c r="C15" s="768" t="str">
        <f>IF(VLOOKUP($B15,Languages!$A:$D,1,TRUE)=$B15,VLOOKUP($B15,Languages!$A:$D,Kybermittari!$C$7,TRUE),NA())</f>
        <v>Toimitusketjun ja ulkoisten riippuvuuksien hallinta</v>
      </c>
      <c r="D15" s="768"/>
      <c r="E15" s="768"/>
      <c r="F15" s="673"/>
      <c r="G15" s="673"/>
      <c r="H15" s="673"/>
      <c r="I15" s="673"/>
      <c r="J15" s="673"/>
      <c r="K15" s="661">
        <f t="shared" si="0"/>
        <v>0</v>
      </c>
      <c r="L15" s="673"/>
      <c r="M15" s="466"/>
      <c r="N15" s="467"/>
      <c r="O15" s="445"/>
      <c r="P15" s="332"/>
      <c r="Q15" s="341"/>
      <c r="R15" s="341"/>
    </row>
    <row r="16" spans="1:18" s="343" customFormat="1" ht="30" customHeight="1" x14ac:dyDescent="0.25">
      <c r="A16" s="332"/>
      <c r="B16" s="660" t="s">
        <v>80</v>
      </c>
      <c r="C16" s="768" t="str">
        <f>IF(VLOOKUP($B16,Languages!$A:$D,1,TRUE)=$B16,VLOOKUP($B16,Languages!$A:$D,Kybermittari!$C$7,TRUE),NA())</f>
        <v>Henkilöstön hallinta</v>
      </c>
      <c r="D16" s="768"/>
      <c r="E16" s="768"/>
      <c r="F16" s="673"/>
      <c r="G16" s="673"/>
      <c r="H16" s="673"/>
      <c r="I16" s="673"/>
      <c r="J16" s="673"/>
      <c r="K16" s="661">
        <f t="shared" si="0"/>
        <v>0</v>
      </c>
      <c r="L16" s="673"/>
      <c r="M16" s="466"/>
      <c r="N16" s="467"/>
      <c r="O16" s="445"/>
      <c r="P16" s="332"/>
      <c r="Q16" s="341"/>
      <c r="R16" s="341"/>
    </row>
    <row r="17" spans="1:18" s="343" customFormat="1" ht="30" customHeight="1" x14ac:dyDescent="0.25">
      <c r="A17" s="332"/>
      <c r="B17" s="660" t="s">
        <v>83</v>
      </c>
      <c r="C17" s="768" t="str">
        <f>IF(VLOOKUP($B17,Languages!$A:$D,1,TRUE)=$B17,VLOOKUP($B17,Languages!$A:$D,Kybermittari!$C$7,TRUE),NA())</f>
        <v>Kyberturvallisuusarkkitehtuuri</v>
      </c>
      <c r="D17" s="768"/>
      <c r="E17" s="768"/>
      <c r="F17" s="673"/>
      <c r="G17" s="673"/>
      <c r="H17" s="673"/>
      <c r="I17" s="673"/>
      <c r="J17" s="673"/>
      <c r="K17" s="661">
        <f t="shared" si="0"/>
        <v>0</v>
      </c>
      <c r="L17" s="673"/>
      <c r="M17" s="466"/>
      <c r="N17" s="467"/>
      <c r="O17" s="445"/>
      <c r="P17" s="332"/>
      <c r="Q17" s="341"/>
      <c r="R17" s="341"/>
    </row>
    <row r="18" spans="1:18" s="343" customFormat="1" ht="30" customHeight="1" x14ac:dyDescent="0.25">
      <c r="A18" s="332"/>
      <c r="B18" s="660" t="s">
        <v>85</v>
      </c>
      <c r="C18" s="769" t="str">
        <f>IF(VLOOKUP($B18,Languages!$A:$D,1,TRUE)=$B18,VLOOKUP($B18,Languages!$A:$D,Kybermittari!$C$7,TRUE),NA())</f>
        <v>Kyberturvallisuusohjelma</v>
      </c>
      <c r="D18" s="769"/>
      <c r="E18" s="769"/>
      <c r="F18" s="674"/>
      <c r="G18" s="674"/>
      <c r="H18" s="674"/>
      <c r="I18" s="674"/>
      <c r="J18" s="674"/>
      <c r="K18" s="661">
        <f t="shared" si="0"/>
        <v>0</v>
      </c>
      <c r="L18" s="674"/>
      <c r="M18" s="466"/>
      <c r="N18" s="467"/>
      <c r="O18" s="445"/>
      <c r="P18" s="332"/>
      <c r="Q18" s="341"/>
      <c r="R18" s="341"/>
    </row>
    <row r="19" spans="1:18" s="343" customFormat="1" ht="30" customHeight="1" x14ac:dyDescent="0.25">
      <c r="A19" s="332"/>
      <c r="B19" s="660"/>
      <c r="C19" s="766" t="str">
        <f>IF(VLOOKUP("INVEST-11",Languages!$A:$D,1,TRUE)="INVEST-11",VLOOKUP("INVEST-11",Languages!$A:$D,Kybermittari!$C$7,TRUE),NA())</f>
        <v>Yhteensä (x 1 000 €)</v>
      </c>
      <c r="D19" s="766"/>
      <c r="E19" s="767"/>
      <c r="F19" s="662">
        <f>SUM(F8:F18)</f>
        <v>0</v>
      </c>
      <c r="G19" s="662">
        <f t="shared" ref="G19:I19" si="1">SUM(G8:G18)</f>
        <v>0</v>
      </c>
      <c r="H19" s="662">
        <f t="shared" si="1"/>
        <v>0</v>
      </c>
      <c r="I19" s="662">
        <f t="shared" si="1"/>
        <v>0</v>
      </c>
      <c r="J19" s="662">
        <f>SUM(J8:J18)</f>
        <v>0</v>
      </c>
      <c r="K19" s="662">
        <f>SUM(K8:K18)</f>
        <v>0</v>
      </c>
      <c r="L19" s="662">
        <f t="shared" ref="L19" si="2">SUM(L8:L18)</f>
        <v>0</v>
      </c>
      <c r="M19" s="466"/>
      <c r="N19" s="467"/>
      <c r="O19" s="445"/>
      <c r="P19" s="332"/>
      <c r="Q19" s="341"/>
      <c r="R19" s="341"/>
    </row>
    <row r="20" spans="1:18" s="343" customFormat="1" ht="30" customHeight="1" x14ac:dyDescent="0.3">
      <c r="A20" s="332"/>
      <c r="B20" s="461"/>
      <c r="C20" s="663"/>
      <c r="D20" s="664"/>
      <c r="E20" s="664"/>
      <c r="F20" s="609"/>
      <c r="G20" s="665"/>
      <c r="H20" s="665"/>
      <c r="I20" s="665"/>
      <c r="J20" s="666"/>
      <c r="K20" s="666"/>
      <c r="L20" s="665"/>
      <c r="M20" s="466"/>
      <c r="N20" s="467"/>
      <c r="O20" s="300"/>
      <c r="P20" s="332"/>
      <c r="Q20" s="341"/>
      <c r="R20" s="341"/>
    </row>
    <row r="21" spans="1:18" x14ac:dyDescent="0.25">
      <c r="A21" s="422"/>
      <c r="B21" s="423"/>
      <c r="C21" s="516"/>
      <c r="D21" s="424"/>
      <c r="E21" s="424"/>
      <c r="F21" s="517"/>
      <c r="G21" s="517"/>
      <c r="H21" s="517"/>
      <c r="I21" s="517"/>
      <c r="J21" s="667"/>
      <c r="K21" s="668"/>
      <c r="L21" s="517"/>
      <c r="M21" s="429"/>
      <c r="N21" s="422"/>
      <c r="O21" s="669"/>
      <c r="P21" s="422"/>
    </row>
    <row r="22" spans="1:18" x14ac:dyDescent="0.25">
      <c r="A22" s="422"/>
      <c r="B22" s="422"/>
      <c r="C22" s="422"/>
      <c r="D22" s="422"/>
      <c r="E22" s="422"/>
      <c r="F22" s="422"/>
      <c r="G22" s="422"/>
      <c r="H22" s="422"/>
      <c r="I22" s="422"/>
      <c r="J22" s="422"/>
      <c r="K22" s="422"/>
      <c r="L22" s="422"/>
      <c r="M22" s="422"/>
      <c r="N22" s="422"/>
      <c r="O22" s="432"/>
      <c r="P22" s="422"/>
    </row>
  </sheetData>
  <sheetProtection sheet="1" objects="1" scenarios="1"/>
  <mergeCells count="14">
    <mergeCell ref="C5:L5"/>
    <mergeCell ref="C19:E19"/>
    <mergeCell ref="C10:E10"/>
    <mergeCell ref="C9:E9"/>
    <mergeCell ref="C11:E11"/>
    <mergeCell ref="C12:E12"/>
    <mergeCell ref="C13:E13"/>
    <mergeCell ref="C14:E14"/>
    <mergeCell ref="C15:E15"/>
    <mergeCell ref="C16:E16"/>
    <mergeCell ref="C17:E17"/>
    <mergeCell ref="C18:E18"/>
    <mergeCell ref="C7:E7"/>
    <mergeCell ref="C8:E8"/>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3" id="{9E7226B3-1067-417A-A4CA-EACC958E7A86}">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G3</xm:sqref>
        </x14:conditionalFormatting>
        <x14:conditionalFormatting xmlns:xm="http://schemas.microsoft.com/office/excel/2006/main">
          <x14:cfRule type="iconSet" priority="2" id="{819A0D45-1B91-4729-8FFB-B5819B3F6A49}">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J3:L3</xm:sqref>
        </x14:conditionalFormatting>
        <x14:conditionalFormatting xmlns:xm="http://schemas.microsoft.com/office/excel/2006/main">
          <x14:cfRule type="iconSet" priority="1" id="{2AA324E3-BA02-40F5-939C-5D2DB0A2F2A7}">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I3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T415"/>
  <sheetViews>
    <sheetView showGridLines="0" zoomScaleNormal="100" workbookViewId="0">
      <selection activeCell="I17" sqref="I17"/>
    </sheetView>
  </sheetViews>
  <sheetFormatPr defaultRowHeight="14" customHeight="1" x14ac:dyDescent="0.25"/>
  <cols>
    <col min="1" max="2" width="1.640625" style="303" customWidth="1"/>
    <col min="3" max="3" width="2.640625" style="303" customWidth="1"/>
    <col min="4" max="5" width="15.640625" style="303" customWidth="1"/>
    <col min="6" max="6" width="5.640625" style="303" customWidth="1"/>
    <col min="7" max="7" width="2.640625" style="303" customWidth="1"/>
    <col min="8" max="9" width="15.640625" style="303" customWidth="1"/>
    <col min="10" max="10" width="5.640625" style="303" customWidth="1"/>
    <col min="11" max="11" width="2.640625" style="303" customWidth="1"/>
    <col min="12" max="13" width="15.640625" style="303" customWidth="1"/>
    <col min="14" max="14" width="1.640625" style="303" customWidth="1"/>
    <col min="15" max="15" width="1.640625" style="521" customWidth="1"/>
    <col min="16" max="16" width="1.640625" style="303" customWidth="1"/>
    <col min="17" max="17" width="32.78515625" style="303" customWidth="1"/>
    <col min="18" max="18" width="2.640625" style="303" customWidth="1"/>
    <col min="19" max="19" width="1.640625" style="303" customWidth="1"/>
    <col min="20" max="20" width="1.640625" style="521" customWidth="1"/>
    <col min="21" max="16384" width="9.140625" style="433"/>
  </cols>
  <sheetData>
    <row r="1" spans="1:20" s="303" customFormat="1" ht="14" customHeight="1" x14ac:dyDescent="0.25">
      <c r="A1" s="297"/>
      <c r="B1" s="297"/>
      <c r="C1" s="297"/>
      <c r="D1" s="297"/>
      <c r="E1" s="297"/>
      <c r="F1" s="297"/>
      <c r="G1" s="297"/>
      <c r="H1" s="297"/>
      <c r="I1" s="297"/>
      <c r="J1" s="297"/>
      <c r="K1" s="297"/>
      <c r="L1" s="297"/>
      <c r="M1" s="297"/>
      <c r="N1" s="297"/>
      <c r="O1" s="467"/>
      <c r="P1" s="297"/>
      <c r="Q1" s="297"/>
      <c r="R1" s="297"/>
      <c r="S1" s="297"/>
      <c r="T1" s="467"/>
    </row>
    <row r="2" spans="1:20" s="448" customFormat="1" ht="18" customHeight="1" x14ac:dyDescent="0.25">
      <c r="A2" s="441"/>
      <c r="B2" s="305"/>
      <c r="C2" s="307"/>
      <c r="D2" s="307"/>
      <c r="E2" s="307"/>
      <c r="F2" s="307"/>
      <c r="G2" s="307"/>
      <c r="H2" s="307"/>
      <c r="I2" s="307"/>
      <c r="J2" s="307"/>
      <c r="K2" s="307"/>
      <c r="L2" s="307"/>
      <c r="M2" s="307"/>
      <c r="N2" s="675"/>
      <c r="O2" s="467"/>
      <c r="P2" s="297"/>
      <c r="Q2" s="297"/>
      <c r="R2" s="297"/>
      <c r="S2" s="297"/>
      <c r="T2" s="467"/>
    </row>
    <row r="3" spans="1:20" s="303" customFormat="1" ht="18" customHeight="1" x14ac:dyDescent="0.25">
      <c r="A3" s="297"/>
      <c r="B3" s="323"/>
      <c r="C3" s="451"/>
      <c r="D3" s="451"/>
      <c r="E3" s="451"/>
      <c r="F3" s="451"/>
      <c r="G3" s="451"/>
      <c r="H3" s="451"/>
      <c r="I3" s="451"/>
      <c r="J3" s="451"/>
      <c r="K3" s="451"/>
      <c r="L3" s="451"/>
      <c r="M3" s="451"/>
      <c r="N3" s="466"/>
      <c r="O3" s="467"/>
      <c r="P3" s="297"/>
      <c r="Q3" s="297"/>
      <c r="R3" s="297"/>
      <c r="S3" s="297"/>
      <c r="T3" s="467"/>
    </row>
    <row r="4" spans="1:20" s="303" customFormat="1" ht="30" customHeight="1" x14ac:dyDescent="0.25">
      <c r="A4" s="297"/>
      <c r="B4" s="323"/>
      <c r="C4" s="451"/>
      <c r="D4" s="676" t="str">
        <f>IF(VLOOKUP("KM50",Languages!$A:$D,1,TRUE)="KM50",VLOOKUP("KM50",Languages!$A:$D,Kybermittari!$C$7,TRUE),NA())</f>
        <v>Vertailutietojen tuonti ja arviointitulosten vienti</v>
      </c>
      <c r="E4" s="451"/>
      <c r="F4" s="451"/>
      <c r="G4" s="451"/>
      <c r="H4" s="451"/>
      <c r="I4" s="451"/>
      <c r="J4" s="451"/>
      <c r="K4" s="451"/>
      <c r="L4" s="451"/>
      <c r="M4" s="451"/>
      <c r="N4" s="466"/>
      <c r="O4" s="467"/>
      <c r="P4" s="297"/>
      <c r="Q4" s="297"/>
      <c r="R4" s="297"/>
      <c r="S4" s="297"/>
      <c r="T4" s="467"/>
    </row>
    <row r="5" spans="1:20" s="303" customFormat="1" ht="14" customHeight="1" x14ac:dyDescent="0.25">
      <c r="A5" s="297"/>
      <c r="B5" s="323"/>
      <c r="C5" s="451"/>
      <c r="D5" s="451"/>
      <c r="E5" s="451"/>
      <c r="F5" s="451"/>
      <c r="G5" s="451"/>
      <c r="H5" s="451"/>
      <c r="I5" s="451"/>
      <c r="J5" s="451"/>
      <c r="K5" s="451"/>
      <c r="L5" s="451"/>
      <c r="M5" s="451"/>
      <c r="N5" s="466"/>
      <c r="O5" s="467"/>
      <c r="P5" s="297"/>
      <c r="Q5" s="297"/>
      <c r="R5" s="297"/>
      <c r="S5" s="297"/>
      <c r="T5" s="467"/>
    </row>
    <row r="6" spans="1:20" s="681" customFormat="1" ht="14" customHeight="1" x14ac:dyDescent="0.25">
      <c r="A6" s="297"/>
      <c r="B6" s="677"/>
      <c r="C6" s="678"/>
      <c r="D6" s="779" t="str">
        <f>IF(VLOOKUP("KM51",Languages!$A:$D,1,TRUE)="KM51",VLOOKUP("KM51",Languages!$A:$D,Kybermittari!$C$7,TRUE),NA())</f>
        <v>Aiemmat arviointitulokset</v>
      </c>
      <c r="E6" s="779"/>
      <c r="F6" s="779"/>
      <c r="G6" s="679"/>
      <c r="H6" s="779" t="str">
        <f>IF(VLOOKUP("KM52",Languages!$A:$D,1,TRUE)="KM52",VLOOKUP("KM52",Languages!$A:$D,Kybermittari!$C$7,TRUE),NA())</f>
        <v>Vertailutulokset</v>
      </c>
      <c r="I6" s="779"/>
      <c r="J6" s="779"/>
      <c r="K6" s="679"/>
      <c r="L6" s="775" t="str">
        <f>IF(VLOOKUP("KM53",Languages!$A:$D,1,TRUE)="KM53",VLOOKUP("KM53",Languages!$A:$D,Kybermittari!$C$7,TRUE),NA())</f>
        <v>Arviointitulosten vienti</v>
      </c>
      <c r="M6" s="775"/>
      <c r="N6" s="680"/>
      <c r="O6" s="586"/>
      <c r="P6" s="297"/>
      <c r="Q6" s="297"/>
      <c r="R6" s="297"/>
      <c r="S6" s="297"/>
      <c r="T6" s="586"/>
    </row>
    <row r="7" spans="1:20" s="303" customFormat="1" ht="23" customHeight="1" x14ac:dyDescent="0.25">
      <c r="A7" s="297"/>
      <c r="B7" s="323"/>
      <c r="C7" s="451"/>
      <c r="D7" s="780" t="str">
        <f>IF(VLOOKUP("KM54",Languages!$A:$D,1,TRUE)="KM54",VLOOKUP("KM54",Languages!$A:$D,Kybermittari!$C$7,TRUE),NA())</f>
        <v>Tähän taulukkoon syötetyt vertailutiedot esitetään raporteissa.</v>
      </c>
      <c r="E7" s="780"/>
      <c r="F7" s="780"/>
      <c r="G7" s="679"/>
      <c r="H7" s="780" t="str">
        <f>IF(VLOOKUP("KM55",Languages!$A:$D,1,TRUE)="KM55",VLOOKUP("KM55",Languages!$A:$D,Kybermittari!$C$7,TRUE),NA())</f>
        <v>Tähän taulukkoon syötetyt vertailutiedot esitetään raporteissa.</v>
      </c>
      <c r="I7" s="780"/>
      <c r="J7" s="780"/>
      <c r="K7" s="679"/>
      <c r="L7" s="773" t="str">
        <f>IF(VLOOKUP("KM56",Languages!$A:$D,1,TRUE)="KM56",VLOOKUP("KM56",Languages!$A:$D,Kybermittari!$C$7,TRUE),NA())</f>
        <v>Tätä taulukkoa voidaan käyttää arviointitulosten siirtämiseen tai lähettämiseen.</v>
      </c>
      <c r="M7" s="774"/>
      <c r="N7" s="466"/>
      <c r="O7" s="467"/>
      <c r="P7" s="297"/>
      <c r="Q7" s="297"/>
      <c r="R7" s="297"/>
      <c r="S7" s="297"/>
      <c r="T7" s="467"/>
    </row>
    <row r="8" spans="1:20" s="303" customFormat="1" ht="14" customHeight="1" thickBot="1" x14ac:dyDescent="0.3">
      <c r="A8" s="297"/>
      <c r="B8" s="323"/>
      <c r="C8" s="451"/>
      <c r="D8" s="451"/>
      <c r="E8" s="451"/>
      <c r="F8" s="451"/>
      <c r="G8" s="451"/>
      <c r="H8" s="451"/>
      <c r="I8" s="451"/>
      <c r="J8" s="451"/>
      <c r="K8" s="451"/>
      <c r="L8" s="682"/>
      <c r="M8" s="682"/>
      <c r="N8" s="466"/>
      <c r="O8" s="586"/>
      <c r="P8" s="683"/>
      <c r="Q8" s="684"/>
      <c r="R8" s="684"/>
      <c r="S8" s="685"/>
      <c r="T8" s="586"/>
    </row>
    <row r="9" spans="1:20" ht="14" customHeight="1" thickBot="1" x14ac:dyDescent="0.3">
      <c r="A9" s="332"/>
      <c r="B9" s="461"/>
      <c r="C9" s="686"/>
      <c r="D9" s="777" t="str">
        <f>IF(VLOOKUP("KM60",Languages!$A:$D,1,TRUE)="KM60",VLOOKUP("KM60",Languages!$A:$D,Kybermittari!$C$7,TRUE),NA())</f>
        <v>Kybermittarin kypsyysraportti (R2)</v>
      </c>
      <c r="E9" s="778"/>
      <c r="F9" s="686"/>
      <c r="G9" s="686"/>
      <c r="H9" s="777" t="str">
        <f>IF(VLOOKUP("KM60",Languages!$A:$D,1,TRUE)="KM60",VLOOKUP("KM60",Languages!$A:$D,Kybermittari!$C$7,TRUE),NA())</f>
        <v>Kybermittarin kypsyysraportti (R2)</v>
      </c>
      <c r="I9" s="778"/>
      <c r="J9" s="686"/>
      <c r="K9" s="686"/>
      <c r="L9" s="717" t="s">
        <v>34</v>
      </c>
      <c r="M9" s="718" t="s">
        <v>982</v>
      </c>
      <c r="N9" s="466"/>
      <c r="O9" s="467"/>
      <c r="P9" s="687"/>
      <c r="Q9" s="688" t="str">
        <f>IF(VLOOKUP("KM58",Languages!$A:$D,1,TRUE)="KM58",VLOOKUP("KM58",Languages!$A:$D,Kybermittari!$C$7,TRUE),NA())</f>
        <v>Pikaohjeet tulosten vientiin (Microsoft Office Excel 2016)</v>
      </c>
      <c r="R9" s="686"/>
      <c r="S9" s="466"/>
      <c r="T9" s="467"/>
    </row>
    <row r="10" spans="1:20" ht="14" customHeight="1" x14ac:dyDescent="0.25">
      <c r="A10" s="332"/>
      <c r="B10" s="461"/>
      <c r="C10" s="686"/>
      <c r="J10" s="686"/>
      <c r="K10" s="686"/>
      <c r="L10" s="689" t="s">
        <v>1529</v>
      </c>
      <c r="M10" s="690">
        <f>Kybermittari!H4</f>
        <v>0</v>
      </c>
      <c r="N10" s="466"/>
      <c r="O10" s="467"/>
      <c r="P10" s="687"/>
      <c r="Q10" s="691"/>
      <c r="R10" s="686"/>
      <c r="S10" s="466"/>
      <c r="T10" s="467"/>
    </row>
    <row r="11" spans="1:20" ht="14" customHeight="1" thickBot="1" x14ac:dyDescent="0.3">
      <c r="A11" s="332"/>
      <c r="B11" s="660"/>
      <c r="C11" s="692"/>
      <c r="D11" s="693" t="s">
        <v>34</v>
      </c>
      <c r="E11" s="708" t="s">
        <v>982</v>
      </c>
      <c r="F11" s="686"/>
      <c r="G11" s="686"/>
      <c r="H11" s="693" t="s">
        <v>34</v>
      </c>
      <c r="I11" s="708" t="s">
        <v>982</v>
      </c>
      <c r="J11" s="692"/>
      <c r="K11" s="692"/>
      <c r="L11" s="689" t="s">
        <v>1526</v>
      </c>
      <c r="M11" s="690">
        <f>Kybermittari!E11</f>
        <v>0</v>
      </c>
      <c r="N11" s="466"/>
      <c r="O11" s="467"/>
      <c r="P11" s="687"/>
      <c r="Q11" s="776" t="str">
        <f>IF(VLOOKUP("KM59",Languages!$A:$D,1,TRUE)="KM59",VLOOKUP("KM59",Languages!$A:$D,Kybermittari!$C$7,TRUE),NA())</f>
        <v>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v>
      </c>
      <c r="R11" s="692"/>
      <c r="S11" s="466"/>
      <c r="T11" s="467"/>
    </row>
    <row r="12" spans="1:20" ht="14" customHeight="1" x14ac:dyDescent="0.25">
      <c r="A12" s="332"/>
      <c r="B12" s="660"/>
      <c r="C12" s="692"/>
      <c r="D12" s="694" t="s">
        <v>60</v>
      </c>
      <c r="E12" s="711"/>
      <c r="F12" s="686"/>
      <c r="G12" s="686"/>
      <c r="H12" s="694" t="s">
        <v>60</v>
      </c>
      <c r="I12" s="711"/>
      <c r="J12" s="692"/>
      <c r="K12" s="692"/>
      <c r="L12" s="689" t="s">
        <v>1527</v>
      </c>
      <c r="M12" s="690">
        <f>Kybermittari!E12</f>
        <v>0</v>
      </c>
      <c r="N12" s="466"/>
      <c r="O12" s="467"/>
      <c r="P12" s="687"/>
      <c r="Q12" s="776"/>
      <c r="R12" s="692"/>
      <c r="S12" s="466"/>
      <c r="T12" s="467"/>
    </row>
    <row r="13" spans="1:20" ht="14" customHeight="1" x14ac:dyDescent="0.25">
      <c r="A13" s="332"/>
      <c r="B13" s="461"/>
      <c r="C13" s="686"/>
      <c r="D13" s="694" t="s">
        <v>0</v>
      </c>
      <c r="E13" s="710"/>
      <c r="F13" s="692"/>
      <c r="G13" s="692"/>
      <c r="H13" s="694" t="s">
        <v>0</v>
      </c>
      <c r="I13" s="710"/>
      <c r="J13" s="686"/>
      <c r="K13" s="686"/>
      <c r="L13" s="689" t="s">
        <v>1528</v>
      </c>
      <c r="M13" s="690">
        <f>Kybermittari!E13</f>
        <v>0</v>
      </c>
      <c r="N13" s="466"/>
      <c r="O13" s="467"/>
      <c r="P13" s="687"/>
      <c r="Q13" s="776"/>
      <c r="R13" s="686"/>
      <c r="S13" s="466"/>
      <c r="T13" s="467"/>
    </row>
    <row r="14" spans="1:20" ht="14" customHeight="1" x14ac:dyDescent="0.25">
      <c r="A14" s="332"/>
      <c r="B14" s="461"/>
      <c r="C14" s="686"/>
      <c r="D14" s="694" t="s">
        <v>51</v>
      </c>
      <c r="E14" s="712"/>
      <c r="F14" s="692"/>
      <c r="G14" s="692"/>
      <c r="H14" s="694" t="s">
        <v>51</v>
      </c>
      <c r="I14" s="712"/>
      <c r="J14" s="686"/>
      <c r="K14" s="686"/>
      <c r="L14" s="695" t="s">
        <v>0</v>
      </c>
      <c r="M14" s="696">
        <f ca="1">IF(VLOOKUP($L14,Data!$K:$O,1,TRUE)=$L14,VLOOKUP($L14,Data!$K:$O,5,TRUE),NA())</f>
        <v>0</v>
      </c>
      <c r="N14" s="466"/>
      <c r="O14" s="467"/>
      <c r="P14" s="687"/>
      <c r="Q14" s="776"/>
      <c r="R14" s="686"/>
      <c r="S14" s="466"/>
      <c r="T14" s="467"/>
    </row>
    <row r="15" spans="1:20" ht="14" customHeight="1" x14ac:dyDescent="0.25">
      <c r="A15" s="332"/>
      <c r="B15" s="461"/>
      <c r="C15" s="686"/>
      <c r="D15" s="694" t="s">
        <v>64</v>
      </c>
      <c r="E15" s="710"/>
      <c r="F15" s="686"/>
      <c r="G15" s="686"/>
      <c r="H15" s="694" t="s">
        <v>64</v>
      </c>
      <c r="I15" s="710"/>
      <c r="J15" s="686"/>
      <c r="K15" s="686"/>
      <c r="L15" s="695" t="s">
        <v>43</v>
      </c>
      <c r="M15" s="696">
        <f ca="1">IF(VLOOKUP($L15,Data!$K:$O,1,TRUE)=$L15,VLOOKUP($L15,Data!$K:$O,5,TRUE),NA())</f>
        <v>0</v>
      </c>
      <c r="N15" s="466"/>
      <c r="O15" s="467"/>
      <c r="P15" s="687"/>
      <c r="Q15" s="776"/>
      <c r="R15" s="686"/>
      <c r="S15" s="466"/>
      <c r="T15" s="467"/>
    </row>
    <row r="16" spans="1:20" ht="14" customHeight="1" x14ac:dyDescent="0.25">
      <c r="A16" s="332"/>
      <c r="B16" s="461"/>
      <c r="C16" s="686"/>
      <c r="D16" s="694" t="s">
        <v>69</v>
      </c>
      <c r="E16" s="712"/>
      <c r="F16" s="686"/>
      <c r="G16" s="686"/>
      <c r="H16" s="694" t="s">
        <v>69</v>
      </c>
      <c r="I16" s="712"/>
      <c r="J16" s="686"/>
      <c r="K16" s="686"/>
      <c r="L16" s="695" t="s">
        <v>47</v>
      </c>
      <c r="M16" s="696">
        <f ca="1">IF(VLOOKUP($L16,Data!$K:$O,1,TRUE)=$L16,VLOOKUP($L16,Data!$K:$O,5,TRUE),NA())</f>
        <v>1</v>
      </c>
      <c r="N16" s="466"/>
      <c r="O16" s="467"/>
      <c r="P16" s="687"/>
      <c r="Q16" s="776"/>
      <c r="R16" s="686"/>
      <c r="S16" s="466"/>
      <c r="T16" s="467"/>
    </row>
    <row r="17" spans="1:20" ht="14" customHeight="1" x14ac:dyDescent="0.25">
      <c r="A17" s="332"/>
      <c r="B17" s="461"/>
      <c r="C17" s="686"/>
      <c r="D17" s="694" t="s">
        <v>72</v>
      </c>
      <c r="E17" s="710"/>
      <c r="F17" s="686"/>
      <c r="G17" s="686"/>
      <c r="H17" s="694" t="s">
        <v>72</v>
      </c>
      <c r="I17" s="710"/>
      <c r="J17" s="686"/>
      <c r="K17" s="686"/>
      <c r="L17" s="695" t="s">
        <v>49</v>
      </c>
      <c r="M17" s="696">
        <f ca="1">IF(VLOOKUP($L17,Data!$K:$O,1,TRUE)=$L17,VLOOKUP($L17,Data!$K:$O,5,TRUE),NA())</f>
        <v>1</v>
      </c>
      <c r="N17" s="466"/>
      <c r="O17" s="467"/>
      <c r="P17" s="687"/>
      <c r="Q17" s="776"/>
      <c r="R17" s="686"/>
      <c r="S17" s="466"/>
      <c r="T17" s="467"/>
    </row>
    <row r="18" spans="1:20" ht="14" customHeight="1" x14ac:dyDescent="0.25">
      <c r="A18" s="332"/>
      <c r="B18" s="461"/>
      <c r="C18" s="686"/>
      <c r="D18" s="694" t="s">
        <v>74</v>
      </c>
      <c r="E18" s="712"/>
      <c r="F18" s="686"/>
      <c r="G18" s="686"/>
      <c r="H18" s="694" t="s">
        <v>74</v>
      </c>
      <c r="I18" s="712"/>
      <c r="J18" s="686"/>
      <c r="K18" s="686"/>
      <c r="L18" s="695" t="s">
        <v>51</v>
      </c>
      <c r="M18" s="696">
        <f ca="1">IF(VLOOKUP($L18,Data!$K:$O,1,TRUE)=$L18,VLOOKUP($L18,Data!$K:$O,5,TRUE),NA())</f>
        <v>0</v>
      </c>
      <c r="N18" s="466"/>
      <c r="O18" s="467"/>
      <c r="P18" s="687"/>
      <c r="Q18" s="776"/>
      <c r="R18" s="686"/>
      <c r="S18" s="466"/>
      <c r="T18" s="467"/>
    </row>
    <row r="19" spans="1:20" ht="14" customHeight="1" x14ac:dyDescent="0.25">
      <c r="A19" s="332"/>
      <c r="B19" s="461"/>
      <c r="C19" s="686"/>
      <c r="D19" s="694" t="s">
        <v>77</v>
      </c>
      <c r="E19" s="710"/>
      <c r="F19" s="686"/>
      <c r="G19" s="686"/>
      <c r="H19" s="694" t="s">
        <v>77</v>
      </c>
      <c r="I19" s="710"/>
      <c r="J19" s="686"/>
      <c r="K19" s="686"/>
      <c r="L19" s="695" t="s">
        <v>53</v>
      </c>
      <c r="M19" s="696">
        <f ca="1">IF(VLOOKUP($L19,Data!$K:$O,1,TRUE)=$L19,VLOOKUP($L19,Data!$K:$O,5,TRUE),NA())</f>
        <v>0</v>
      </c>
      <c r="N19" s="466"/>
      <c r="O19" s="467"/>
      <c r="P19" s="687"/>
      <c r="Q19" s="776"/>
      <c r="R19" s="686"/>
      <c r="S19" s="466"/>
      <c r="T19" s="467"/>
    </row>
    <row r="20" spans="1:20" ht="14" customHeight="1" x14ac:dyDescent="0.25">
      <c r="A20" s="332"/>
      <c r="B20" s="461"/>
      <c r="C20" s="686"/>
      <c r="D20" s="694" t="s">
        <v>80</v>
      </c>
      <c r="E20" s="712"/>
      <c r="F20" s="686"/>
      <c r="G20" s="686"/>
      <c r="H20" s="694" t="s">
        <v>80</v>
      </c>
      <c r="I20" s="712"/>
      <c r="J20" s="686"/>
      <c r="K20" s="686"/>
      <c r="L20" s="695" t="s">
        <v>55</v>
      </c>
      <c r="M20" s="696">
        <f ca="1">IF(VLOOKUP($L20,Data!$K:$O,1,TRUE)=$L20,VLOOKUP($L20,Data!$K:$O,5,TRUE),NA())</f>
        <v>0</v>
      </c>
      <c r="N20" s="466"/>
      <c r="O20" s="467"/>
      <c r="P20" s="687"/>
      <c r="Q20" s="776"/>
      <c r="R20" s="686"/>
      <c r="S20" s="466"/>
      <c r="T20" s="467"/>
    </row>
    <row r="21" spans="1:20" ht="14" customHeight="1" x14ac:dyDescent="0.25">
      <c r="A21" s="332"/>
      <c r="B21" s="461"/>
      <c r="C21" s="686"/>
      <c r="D21" s="694" t="s">
        <v>83</v>
      </c>
      <c r="E21" s="710"/>
      <c r="F21" s="686"/>
      <c r="G21" s="686"/>
      <c r="H21" s="694" t="s">
        <v>83</v>
      </c>
      <c r="I21" s="710"/>
      <c r="J21" s="686"/>
      <c r="K21" s="686"/>
      <c r="L21" s="695" t="s">
        <v>57</v>
      </c>
      <c r="M21" s="696">
        <f ca="1">IF(VLOOKUP($L21,Data!$K:$O,1,TRUE)=$L21,VLOOKUP($L21,Data!$K:$O,5,TRUE),NA())</f>
        <v>0</v>
      </c>
      <c r="N21" s="466"/>
      <c r="O21" s="467"/>
      <c r="P21" s="687"/>
      <c r="Q21" s="776"/>
      <c r="R21" s="686"/>
      <c r="S21" s="466"/>
      <c r="T21" s="467"/>
    </row>
    <row r="22" spans="1:20" ht="14" customHeight="1" thickBot="1" x14ac:dyDescent="0.3">
      <c r="A22" s="332"/>
      <c r="B22" s="461"/>
      <c r="C22" s="686"/>
      <c r="D22" s="694" t="s">
        <v>85</v>
      </c>
      <c r="E22" s="713"/>
      <c r="F22" s="686"/>
      <c r="G22" s="686"/>
      <c r="H22" s="694" t="s">
        <v>85</v>
      </c>
      <c r="I22" s="713"/>
      <c r="J22" s="686"/>
      <c r="K22" s="686"/>
      <c r="L22" s="695" t="s">
        <v>59</v>
      </c>
      <c r="M22" s="696">
        <f ca="1">IF(VLOOKUP($L22,Data!$K:$O,1,TRUE)=$L22,VLOOKUP($L22,Data!$K:$O,5,TRUE),NA())</f>
        <v>0</v>
      </c>
      <c r="N22" s="466"/>
      <c r="O22" s="467"/>
      <c r="P22" s="687"/>
      <c r="Q22" s="776"/>
      <c r="R22" s="686"/>
      <c r="S22" s="466"/>
      <c r="T22" s="467"/>
    </row>
    <row r="23" spans="1:20" ht="14" customHeight="1" thickBot="1" x14ac:dyDescent="0.3">
      <c r="A23" s="332"/>
      <c r="B23" s="461"/>
      <c r="C23" s="686"/>
      <c r="J23" s="686"/>
      <c r="K23" s="686"/>
      <c r="L23" s="695" t="s">
        <v>62</v>
      </c>
      <c r="M23" s="696">
        <f ca="1">IF(VLOOKUP($L23,Data!$K:$O,1,TRUE)=$L23,VLOOKUP($L23,Data!$K:$O,5,TRUE),NA())</f>
        <v>1</v>
      </c>
      <c r="N23" s="466"/>
      <c r="O23" s="467"/>
      <c r="P23" s="687"/>
      <c r="Q23" s="776"/>
      <c r="R23" s="686"/>
      <c r="S23" s="466"/>
      <c r="T23" s="467"/>
    </row>
    <row r="24" spans="1:20" ht="14" customHeight="1" thickBot="1" x14ac:dyDescent="0.3">
      <c r="A24" s="332"/>
      <c r="B24" s="461"/>
      <c r="C24" s="686"/>
      <c r="D24" s="777" t="str">
        <f>IF(VLOOKUP("KM61",Languages!$A:$D,1,TRUE)="KM61",VLOOKUP("KM61",Languages!$A:$D,Kybermittari!$C$7,TRUE),NA())</f>
        <v>Johdon kypsyysraportti (R1)</v>
      </c>
      <c r="E24" s="778"/>
      <c r="F24" s="686"/>
      <c r="G24" s="686"/>
      <c r="H24" s="777" t="str">
        <f>IF(VLOOKUP("KM61",Languages!$A:$D,1,TRUE)="KM61",VLOOKUP("KM61",Languages!$A:$D,Kybermittari!$C$7,TRUE),NA())</f>
        <v>Johdon kypsyysraportti (R1)</v>
      </c>
      <c r="I24" s="778"/>
      <c r="J24" s="686"/>
      <c r="K24" s="686"/>
      <c r="L24" s="695" t="s">
        <v>64</v>
      </c>
      <c r="M24" s="696">
        <f ca="1">IF(VLOOKUP($L24,Data!$K:$O,1,TRUE)=$L24,VLOOKUP($L24,Data!$K:$O,5,TRUE),NA())</f>
        <v>0</v>
      </c>
      <c r="N24" s="466"/>
      <c r="O24" s="467"/>
      <c r="P24" s="687"/>
      <c r="Q24" s="776"/>
      <c r="R24" s="686"/>
      <c r="S24" s="466"/>
      <c r="T24" s="467"/>
    </row>
    <row r="25" spans="1:20" ht="14" customHeight="1" x14ac:dyDescent="0.25">
      <c r="A25" s="332"/>
      <c r="B25" s="461"/>
      <c r="C25" s="686"/>
      <c r="F25" s="686"/>
      <c r="G25" s="686"/>
      <c r="H25" s="697"/>
      <c r="J25" s="686"/>
      <c r="K25" s="686"/>
      <c r="L25" s="695" t="s">
        <v>66</v>
      </c>
      <c r="M25" s="696">
        <f ca="1">IF(VLOOKUP($L25,Data!$K:$O,1,TRUE)=$L25,VLOOKUP($L25,Data!$K:$O,5,TRUE),NA())</f>
        <v>0</v>
      </c>
      <c r="N25" s="466"/>
      <c r="O25" s="467"/>
      <c r="P25" s="687"/>
      <c r="Q25" s="776"/>
      <c r="R25" s="686"/>
      <c r="S25" s="466"/>
      <c r="T25" s="467"/>
    </row>
    <row r="26" spans="1:20" ht="14" customHeight="1" thickBot="1" x14ac:dyDescent="0.3">
      <c r="A26" s="332"/>
      <c r="B26" s="461"/>
      <c r="C26" s="686"/>
      <c r="D26" s="693" t="s">
        <v>34</v>
      </c>
      <c r="E26" s="708" t="s">
        <v>982</v>
      </c>
      <c r="F26" s="686"/>
      <c r="G26" s="686"/>
      <c r="H26" s="693" t="s">
        <v>34</v>
      </c>
      <c r="I26" s="708" t="s">
        <v>982</v>
      </c>
      <c r="J26" s="686"/>
      <c r="K26" s="686"/>
      <c r="L26" s="695" t="s">
        <v>68</v>
      </c>
      <c r="M26" s="696">
        <f ca="1">IF(VLOOKUP($L26,Data!$K:$O,1,TRUE)=$L26,VLOOKUP($L26,Data!$K:$O,5,TRUE),NA())</f>
        <v>0</v>
      </c>
      <c r="N26" s="466"/>
      <c r="O26" s="467"/>
      <c r="P26" s="687"/>
      <c r="Q26" s="776"/>
      <c r="R26" s="686"/>
      <c r="S26" s="466"/>
      <c r="T26" s="467"/>
    </row>
    <row r="27" spans="1:20" ht="14" customHeight="1" x14ac:dyDescent="0.25">
      <c r="A27" s="332"/>
      <c r="B27" s="461"/>
      <c r="C27" s="686"/>
      <c r="D27" s="694" t="s">
        <v>1285</v>
      </c>
      <c r="E27" s="714"/>
      <c r="F27" s="686"/>
      <c r="G27" s="686"/>
      <c r="H27" s="694" t="s">
        <v>1285</v>
      </c>
      <c r="I27" s="714"/>
      <c r="J27" s="686"/>
      <c r="K27" s="686"/>
      <c r="L27" s="695" t="s">
        <v>71</v>
      </c>
      <c r="M27" s="696">
        <f ca="1">IF(VLOOKUP($L27,Data!$K:$O,1,TRUE)=$L27,VLOOKUP($L27,Data!$K:$O,5,TRUE),NA())</f>
        <v>1</v>
      </c>
      <c r="N27" s="466"/>
      <c r="O27" s="467"/>
      <c r="P27" s="687"/>
      <c r="Q27" s="776"/>
      <c r="R27" s="686"/>
      <c r="S27" s="466"/>
      <c r="T27" s="467"/>
    </row>
    <row r="28" spans="1:20" ht="14" customHeight="1" x14ac:dyDescent="0.25">
      <c r="A28" s="332"/>
      <c r="B28" s="461"/>
      <c r="C28" s="686"/>
      <c r="D28" s="694" t="s">
        <v>1286</v>
      </c>
      <c r="E28" s="709"/>
      <c r="F28" s="686"/>
      <c r="G28" s="686"/>
      <c r="H28" s="694" t="s">
        <v>1286</v>
      </c>
      <c r="I28" s="709"/>
      <c r="J28" s="686"/>
      <c r="K28" s="686"/>
      <c r="L28" s="695" t="s">
        <v>69</v>
      </c>
      <c r="M28" s="696">
        <f ca="1">IF(VLOOKUP($L28,Data!$K:$O,1,TRUE)=$L28,VLOOKUP($L28,Data!$K:$O,5,TRUE),NA())</f>
        <v>0</v>
      </c>
      <c r="N28" s="466"/>
      <c r="O28" s="467"/>
      <c r="P28" s="687"/>
      <c r="Q28" s="776"/>
      <c r="R28" s="686"/>
      <c r="S28" s="466"/>
      <c r="T28" s="467"/>
    </row>
    <row r="29" spans="1:20" ht="14" customHeight="1" x14ac:dyDescent="0.25">
      <c r="A29" s="332"/>
      <c r="B29" s="461"/>
      <c r="C29" s="686"/>
      <c r="D29" s="694" t="s">
        <v>1287</v>
      </c>
      <c r="E29" s="715"/>
      <c r="F29" s="686"/>
      <c r="G29" s="686"/>
      <c r="H29" s="694" t="s">
        <v>1287</v>
      </c>
      <c r="I29" s="715"/>
      <c r="J29" s="686"/>
      <c r="K29" s="686"/>
      <c r="L29" s="695" t="s">
        <v>76</v>
      </c>
      <c r="M29" s="696">
        <f ca="1">IF(VLOOKUP($L29,Data!$K:$O,1,TRUE)=$L29,VLOOKUP($L29,Data!$K:$O,5,TRUE),NA())</f>
        <v>0</v>
      </c>
      <c r="N29" s="466"/>
      <c r="O29" s="467"/>
      <c r="P29" s="687"/>
      <c r="Q29" s="776"/>
      <c r="R29" s="686"/>
      <c r="S29" s="466"/>
      <c r="T29" s="467"/>
    </row>
    <row r="30" spans="1:20" ht="14" customHeight="1" x14ac:dyDescent="0.25">
      <c r="A30" s="332"/>
      <c r="B30" s="461"/>
      <c r="C30" s="686"/>
      <c r="D30" s="694" t="s">
        <v>1288</v>
      </c>
      <c r="E30" s="709"/>
      <c r="F30" s="686"/>
      <c r="G30" s="686"/>
      <c r="H30" s="694" t="s">
        <v>1288</v>
      </c>
      <c r="I30" s="709"/>
      <c r="J30" s="686"/>
      <c r="K30" s="686"/>
      <c r="L30" s="695" t="s">
        <v>79</v>
      </c>
      <c r="M30" s="696">
        <f ca="1">IF(VLOOKUP($L30,Data!$K:$O,1,TRUE)=$L30,VLOOKUP($L30,Data!$K:$O,5,TRUE),NA())</f>
        <v>0</v>
      </c>
      <c r="N30" s="466"/>
      <c r="O30" s="467"/>
      <c r="P30" s="687"/>
      <c r="Q30" s="776"/>
      <c r="R30" s="686"/>
      <c r="S30" s="466"/>
      <c r="T30" s="467"/>
    </row>
    <row r="31" spans="1:20" ht="14" customHeight="1" thickBot="1" x14ac:dyDescent="0.3">
      <c r="A31" s="332"/>
      <c r="B31" s="461"/>
      <c r="C31" s="686"/>
      <c r="D31" s="694" t="s">
        <v>1289</v>
      </c>
      <c r="E31" s="716"/>
      <c r="F31" s="686"/>
      <c r="G31" s="686"/>
      <c r="H31" s="694" t="s">
        <v>1289</v>
      </c>
      <c r="I31" s="716"/>
      <c r="J31" s="686"/>
      <c r="K31" s="686"/>
      <c r="L31" s="695" t="s">
        <v>82</v>
      </c>
      <c r="M31" s="696">
        <f ca="1">IF(VLOOKUP($L31,Data!$K:$O,1,TRUE)=$L31,VLOOKUP($L31,Data!$K:$O,5,TRUE),NA())</f>
        <v>1</v>
      </c>
      <c r="N31" s="466"/>
      <c r="O31" s="467"/>
      <c r="P31" s="687"/>
      <c r="Q31" s="776"/>
      <c r="R31" s="686"/>
      <c r="S31" s="466"/>
      <c r="T31" s="467"/>
    </row>
    <row r="32" spans="1:20" ht="14" customHeight="1" x14ac:dyDescent="0.25">
      <c r="A32" s="332"/>
      <c r="B32" s="461"/>
      <c r="C32" s="686"/>
      <c r="D32" s="686"/>
      <c r="E32" s="686"/>
      <c r="F32" s="686"/>
      <c r="G32" s="686"/>
      <c r="J32" s="686"/>
      <c r="K32" s="686"/>
      <c r="L32" s="695" t="s">
        <v>72</v>
      </c>
      <c r="M32" s="696">
        <f ca="1">IF(VLOOKUP($L32,Data!$K:$O,1,TRUE)=$L32,VLOOKUP($L32,Data!$K:$O,5,TRUE),NA())</f>
        <v>0</v>
      </c>
      <c r="N32" s="466"/>
      <c r="O32" s="467"/>
      <c r="P32" s="698"/>
      <c r="Q32" s="699"/>
      <c r="R32" s="700"/>
      <c r="S32" s="701"/>
      <c r="T32" s="467"/>
    </row>
    <row r="33" spans="1:20" ht="14" customHeight="1" x14ac:dyDescent="0.25">
      <c r="A33" s="332"/>
      <c r="B33" s="461"/>
      <c r="C33" s="686"/>
      <c r="D33" s="686"/>
      <c r="E33" s="686"/>
      <c r="F33" s="686"/>
      <c r="G33" s="686"/>
      <c r="J33" s="686"/>
      <c r="K33" s="686"/>
      <c r="L33" s="695" t="s">
        <v>87</v>
      </c>
      <c r="M33" s="696">
        <f ca="1">IF(VLOOKUP($L33,Data!$K:$O,1,TRUE)=$L33,VLOOKUP($L33,Data!$K:$O,5,TRUE),NA())</f>
        <v>0</v>
      </c>
      <c r="N33" s="466"/>
      <c r="O33" s="467"/>
      <c r="P33" s="297"/>
      <c r="Q33" s="297"/>
      <c r="R33" s="297"/>
      <c r="S33" s="297"/>
      <c r="T33" s="467"/>
    </row>
    <row r="34" spans="1:20" ht="14" customHeight="1" x14ac:dyDescent="0.25">
      <c r="A34" s="332"/>
      <c r="B34" s="461"/>
      <c r="C34" s="686"/>
      <c r="D34" s="686"/>
      <c r="E34" s="686"/>
      <c r="F34" s="686"/>
      <c r="G34" s="686"/>
      <c r="J34" s="686"/>
      <c r="K34" s="686"/>
      <c r="L34" s="695" t="s">
        <v>89</v>
      </c>
      <c r="M34" s="696">
        <f ca="1">IF(VLOOKUP($L34,Data!$K:$O,1,TRUE)=$L34,VLOOKUP($L34,Data!$K:$O,5,TRUE),NA())</f>
        <v>0</v>
      </c>
      <c r="N34" s="466"/>
      <c r="O34" s="467"/>
      <c r="P34" s="297"/>
      <c r="Q34" s="297"/>
      <c r="R34" s="297"/>
      <c r="S34" s="297"/>
      <c r="T34" s="467"/>
    </row>
    <row r="35" spans="1:20" ht="14" customHeight="1" x14ac:dyDescent="0.25">
      <c r="A35" s="332"/>
      <c r="B35" s="461"/>
      <c r="C35" s="686"/>
      <c r="D35" s="686"/>
      <c r="E35" s="686"/>
      <c r="F35" s="686"/>
      <c r="G35" s="686"/>
      <c r="J35" s="686"/>
      <c r="K35" s="686"/>
      <c r="L35" s="695" t="s">
        <v>91</v>
      </c>
      <c r="M35" s="696">
        <f ca="1">IF(VLOOKUP($L35,Data!$K:$O,1,TRUE)=$L35,VLOOKUP($L35,Data!$K:$O,5,TRUE),NA())</f>
        <v>1</v>
      </c>
      <c r="N35" s="466"/>
      <c r="O35" s="467"/>
      <c r="P35" s="297"/>
      <c r="Q35" s="297"/>
      <c r="R35" s="297"/>
      <c r="S35" s="297"/>
      <c r="T35" s="467"/>
    </row>
    <row r="36" spans="1:20" ht="14" customHeight="1" x14ac:dyDescent="0.25">
      <c r="A36" s="332"/>
      <c r="B36" s="461"/>
      <c r="C36" s="686"/>
      <c r="D36" s="686"/>
      <c r="E36" s="686"/>
      <c r="F36" s="686"/>
      <c r="G36" s="686"/>
      <c r="J36" s="686"/>
      <c r="K36" s="686"/>
      <c r="L36" s="695" t="s">
        <v>93</v>
      </c>
      <c r="M36" s="696">
        <f ca="1">IF(VLOOKUP($L36,Data!$K:$O,1,TRUE)=$L36,VLOOKUP($L36,Data!$K:$O,5,TRUE),NA())</f>
        <v>1</v>
      </c>
      <c r="N36" s="466"/>
      <c r="O36" s="467"/>
      <c r="P36" s="297"/>
      <c r="Q36" s="297"/>
      <c r="R36" s="297"/>
      <c r="S36" s="297"/>
      <c r="T36" s="467"/>
    </row>
    <row r="37" spans="1:20" ht="14" customHeight="1" x14ac:dyDescent="0.25">
      <c r="A37" s="332"/>
      <c r="B37" s="461"/>
      <c r="C37" s="686"/>
      <c r="H37" s="686"/>
      <c r="I37" s="686"/>
      <c r="J37" s="686"/>
      <c r="K37" s="686"/>
      <c r="L37" s="695" t="s">
        <v>74</v>
      </c>
      <c r="M37" s="696">
        <f ca="1">IF(VLOOKUP($L37,Data!$K:$O,1,TRUE)=$L37,VLOOKUP($L37,Data!$K:$O,5,TRUE),NA())</f>
        <v>0</v>
      </c>
      <c r="N37" s="466"/>
      <c r="O37" s="467"/>
      <c r="P37" s="297"/>
      <c r="Q37" s="297"/>
      <c r="R37" s="297"/>
      <c r="S37" s="297"/>
      <c r="T37" s="467"/>
    </row>
    <row r="38" spans="1:20" ht="14" customHeight="1" x14ac:dyDescent="0.25">
      <c r="A38" s="332"/>
      <c r="B38" s="461"/>
      <c r="C38" s="686"/>
      <c r="H38" s="686"/>
      <c r="I38" s="686"/>
      <c r="J38" s="686"/>
      <c r="K38" s="686"/>
      <c r="L38" s="695" t="s">
        <v>96</v>
      </c>
      <c r="M38" s="696">
        <f ca="1">IF(VLOOKUP($L38,Data!$K:$O,1,TRUE)=$L38,VLOOKUP($L38,Data!$K:$O,5,TRUE),NA())</f>
        <v>0</v>
      </c>
      <c r="N38" s="466"/>
      <c r="O38" s="467"/>
      <c r="P38" s="297"/>
      <c r="Q38" s="297"/>
      <c r="R38" s="297"/>
      <c r="S38" s="297"/>
      <c r="T38" s="467"/>
    </row>
    <row r="39" spans="1:20" ht="14" customHeight="1" x14ac:dyDescent="0.25">
      <c r="A39" s="332"/>
      <c r="B39" s="461"/>
      <c r="C39" s="686"/>
      <c r="H39" s="686"/>
      <c r="I39" s="686"/>
      <c r="J39" s="686"/>
      <c r="K39" s="686"/>
      <c r="L39" s="695" t="s">
        <v>98</v>
      </c>
      <c r="M39" s="696">
        <f ca="1">IF(VLOOKUP($L39,Data!$K:$O,1,TRUE)=$L39,VLOOKUP($L39,Data!$K:$O,5,TRUE),NA())</f>
        <v>0</v>
      </c>
      <c r="N39" s="466"/>
      <c r="O39" s="467"/>
      <c r="P39" s="297"/>
      <c r="Q39" s="297"/>
      <c r="R39" s="297"/>
      <c r="S39" s="297"/>
      <c r="T39" s="467"/>
    </row>
    <row r="40" spans="1:20" ht="14" customHeight="1" x14ac:dyDescent="0.25">
      <c r="A40" s="332"/>
      <c r="B40" s="461"/>
      <c r="C40" s="686"/>
      <c r="H40" s="686"/>
      <c r="I40" s="686"/>
      <c r="J40" s="686"/>
      <c r="K40" s="686"/>
      <c r="L40" s="695" t="s">
        <v>100</v>
      </c>
      <c r="M40" s="696">
        <f ca="1">IF(VLOOKUP($L40,Data!$K:$O,1,TRUE)=$L40,VLOOKUP($L40,Data!$K:$O,5,TRUE),NA())</f>
        <v>0</v>
      </c>
      <c r="N40" s="466"/>
      <c r="O40" s="467"/>
      <c r="P40" s="297"/>
      <c r="Q40" s="297"/>
      <c r="R40" s="297"/>
      <c r="S40" s="297"/>
      <c r="T40" s="467"/>
    </row>
    <row r="41" spans="1:20" ht="14" customHeight="1" x14ac:dyDescent="0.25">
      <c r="A41" s="332"/>
      <c r="B41" s="461"/>
      <c r="C41" s="686"/>
      <c r="H41" s="686"/>
      <c r="I41" s="686"/>
      <c r="J41" s="686"/>
      <c r="K41" s="686"/>
      <c r="L41" s="695" t="s">
        <v>102</v>
      </c>
      <c r="M41" s="696">
        <f ca="1">IF(VLOOKUP($L41,Data!$K:$O,1,TRUE)=$L41,VLOOKUP($L41,Data!$K:$O,5,TRUE),NA())</f>
        <v>1</v>
      </c>
      <c r="N41" s="466"/>
      <c r="O41" s="467"/>
      <c r="P41" s="297"/>
      <c r="Q41" s="297"/>
      <c r="R41" s="297"/>
      <c r="S41" s="297"/>
      <c r="T41" s="467"/>
    </row>
    <row r="42" spans="1:20" ht="14" customHeight="1" x14ac:dyDescent="0.25">
      <c r="A42" s="332"/>
      <c r="B42" s="461"/>
      <c r="C42" s="686"/>
      <c r="H42" s="686"/>
      <c r="I42" s="686"/>
      <c r="J42" s="686"/>
      <c r="K42" s="686"/>
      <c r="L42" s="695" t="s">
        <v>77</v>
      </c>
      <c r="M42" s="696">
        <f ca="1">IF(VLOOKUP($L42,Data!$K:$O,1,TRUE)=$L42,VLOOKUP($L42,Data!$K:$O,5,TRUE),NA())</f>
        <v>0</v>
      </c>
      <c r="N42" s="466"/>
      <c r="O42" s="467"/>
      <c r="P42" s="297"/>
      <c r="Q42" s="297"/>
      <c r="R42" s="297"/>
      <c r="S42" s="297"/>
      <c r="T42" s="467"/>
    </row>
    <row r="43" spans="1:20" ht="14" customHeight="1" x14ac:dyDescent="0.25">
      <c r="A43" s="332"/>
      <c r="B43" s="461"/>
      <c r="C43" s="686"/>
      <c r="H43" s="686"/>
      <c r="I43" s="686"/>
      <c r="J43" s="686"/>
      <c r="K43" s="686"/>
      <c r="L43" s="695" t="s">
        <v>105</v>
      </c>
      <c r="M43" s="696">
        <f ca="1">IF(VLOOKUP($L43,Data!$K:$O,1,TRUE)=$L43,VLOOKUP($L43,Data!$K:$O,5,TRUE),NA())</f>
        <v>0</v>
      </c>
      <c r="N43" s="466"/>
      <c r="O43" s="467"/>
      <c r="P43" s="297"/>
      <c r="Q43" s="297"/>
      <c r="R43" s="297"/>
      <c r="S43" s="297"/>
      <c r="T43" s="467"/>
    </row>
    <row r="44" spans="1:20" ht="14" customHeight="1" x14ac:dyDescent="0.25">
      <c r="A44" s="332"/>
      <c r="B44" s="461"/>
      <c r="C44" s="686"/>
      <c r="H44" s="686"/>
      <c r="I44" s="686"/>
      <c r="J44" s="686"/>
      <c r="K44" s="686"/>
      <c r="L44" s="695" t="s">
        <v>107</v>
      </c>
      <c r="M44" s="696">
        <f ca="1">IF(VLOOKUP($L44,Data!$K:$O,1,TRUE)=$L44,VLOOKUP($L44,Data!$K:$O,5,TRUE),NA())</f>
        <v>0</v>
      </c>
      <c r="N44" s="466"/>
      <c r="O44" s="467"/>
      <c r="P44" s="297"/>
      <c r="Q44" s="297"/>
      <c r="R44" s="297"/>
      <c r="S44" s="297"/>
      <c r="T44" s="467"/>
    </row>
    <row r="45" spans="1:20" ht="14" customHeight="1" x14ac:dyDescent="0.25">
      <c r="A45" s="332"/>
      <c r="B45" s="461"/>
      <c r="C45" s="686"/>
      <c r="H45" s="686"/>
      <c r="I45" s="686"/>
      <c r="J45" s="686"/>
      <c r="K45" s="686"/>
      <c r="L45" s="695" t="s">
        <v>109</v>
      </c>
      <c r="M45" s="696">
        <f ca="1">IF(VLOOKUP($L45,Data!$K:$O,1,TRUE)=$L45,VLOOKUP($L45,Data!$K:$O,5,TRUE),NA())</f>
        <v>1</v>
      </c>
      <c r="N45" s="466"/>
      <c r="O45" s="467"/>
      <c r="P45" s="297"/>
      <c r="Q45" s="297"/>
      <c r="R45" s="297"/>
      <c r="S45" s="297"/>
      <c r="T45" s="467"/>
    </row>
    <row r="46" spans="1:20" ht="14" customHeight="1" x14ac:dyDescent="0.25">
      <c r="A46" s="332"/>
      <c r="B46" s="461"/>
      <c r="C46" s="686"/>
      <c r="H46" s="686"/>
      <c r="I46" s="686"/>
      <c r="J46" s="686"/>
      <c r="K46" s="686"/>
      <c r="L46" s="695" t="s">
        <v>80</v>
      </c>
      <c r="M46" s="696">
        <f ca="1">IF(VLOOKUP($L46,Data!$K:$O,1,TRUE)=$L46,VLOOKUP($L46,Data!$K:$O,5,TRUE),NA())</f>
        <v>0</v>
      </c>
      <c r="N46" s="466"/>
      <c r="O46" s="467"/>
      <c r="P46" s="297"/>
      <c r="Q46" s="297"/>
      <c r="R46" s="297"/>
      <c r="S46" s="297"/>
      <c r="T46" s="467"/>
    </row>
    <row r="47" spans="1:20" ht="14" customHeight="1" x14ac:dyDescent="0.25">
      <c r="A47" s="332"/>
      <c r="B47" s="461"/>
      <c r="C47" s="686"/>
      <c r="H47" s="686"/>
      <c r="I47" s="686"/>
      <c r="J47" s="686"/>
      <c r="K47" s="686"/>
      <c r="L47" s="695" t="s">
        <v>113</v>
      </c>
      <c r="M47" s="696">
        <f ca="1">IF(VLOOKUP($L47,Data!$K:$O,1,TRUE)=$L47,VLOOKUP($L47,Data!$K:$O,5,TRUE),NA())</f>
        <v>0</v>
      </c>
      <c r="N47" s="466"/>
      <c r="O47" s="467"/>
      <c r="P47" s="297"/>
      <c r="Q47" s="297"/>
      <c r="R47" s="297"/>
      <c r="S47" s="297"/>
      <c r="T47" s="467"/>
    </row>
    <row r="48" spans="1:20" ht="14" customHeight="1" x14ac:dyDescent="0.25">
      <c r="A48" s="332"/>
      <c r="B48" s="461"/>
      <c r="C48" s="686"/>
      <c r="H48" s="686"/>
      <c r="I48" s="686"/>
      <c r="J48" s="686"/>
      <c r="K48" s="686"/>
      <c r="L48" s="695" t="s">
        <v>115</v>
      </c>
      <c r="M48" s="696">
        <f ca="1">IF(VLOOKUP($L48,Data!$K:$O,1,TRUE)=$L48,VLOOKUP($L48,Data!$K:$O,5,TRUE),NA())</f>
        <v>0</v>
      </c>
      <c r="N48" s="466"/>
      <c r="O48" s="467"/>
      <c r="P48" s="297"/>
      <c r="Q48" s="297"/>
      <c r="R48" s="297"/>
      <c r="S48" s="297"/>
      <c r="T48" s="467"/>
    </row>
    <row r="49" spans="1:20" ht="14" customHeight="1" x14ac:dyDescent="0.25">
      <c r="A49" s="332"/>
      <c r="B49" s="461"/>
      <c r="C49" s="686"/>
      <c r="H49" s="686"/>
      <c r="I49" s="686"/>
      <c r="J49" s="686"/>
      <c r="K49" s="686"/>
      <c r="L49" s="695" t="s">
        <v>117</v>
      </c>
      <c r="M49" s="696">
        <f ca="1">IF(VLOOKUP($L49,Data!$K:$O,1,TRUE)=$L49,VLOOKUP($L49,Data!$K:$O,5,TRUE),NA())</f>
        <v>0</v>
      </c>
      <c r="N49" s="466"/>
      <c r="O49" s="467"/>
      <c r="P49" s="297"/>
      <c r="Q49" s="297"/>
      <c r="R49" s="297"/>
      <c r="S49" s="297"/>
      <c r="T49" s="467"/>
    </row>
    <row r="50" spans="1:20" ht="14" customHeight="1" x14ac:dyDescent="0.25">
      <c r="A50" s="332"/>
      <c r="B50" s="461"/>
      <c r="C50" s="686"/>
      <c r="H50" s="686"/>
      <c r="I50" s="686"/>
      <c r="J50" s="686"/>
      <c r="K50" s="686"/>
      <c r="L50" s="695" t="s">
        <v>119</v>
      </c>
      <c r="M50" s="696">
        <f ca="1">IF(VLOOKUP($L50,Data!$K:$O,1,TRUE)=$L50,VLOOKUP($L50,Data!$K:$O,5,TRUE),NA())</f>
        <v>0</v>
      </c>
      <c r="N50" s="466"/>
      <c r="O50" s="467"/>
      <c r="P50" s="297"/>
      <c r="Q50" s="297"/>
      <c r="R50" s="297"/>
      <c r="S50" s="297"/>
      <c r="T50" s="467"/>
    </row>
    <row r="51" spans="1:20" ht="14" customHeight="1" x14ac:dyDescent="0.25">
      <c r="A51" s="332"/>
      <c r="B51" s="461"/>
      <c r="C51" s="686"/>
      <c r="H51" s="686"/>
      <c r="I51" s="686"/>
      <c r="J51" s="686"/>
      <c r="K51" s="686"/>
      <c r="L51" s="695" t="s">
        <v>121</v>
      </c>
      <c r="M51" s="696">
        <f ca="1">IF(VLOOKUP($L51,Data!$K:$O,1,TRUE)=$L51,VLOOKUP($L51,Data!$K:$O,5,TRUE),NA())</f>
        <v>1</v>
      </c>
      <c r="N51" s="466"/>
      <c r="O51" s="467"/>
      <c r="P51" s="297"/>
      <c r="Q51" s="297"/>
      <c r="R51" s="297"/>
      <c r="S51" s="297"/>
      <c r="T51" s="467"/>
    </row>
    <row r="52" spans="1:20" ht="14" customHeight="1" x14ac:dyDescent="0.25">
      <c r="A52" s="332"/>
      <c r="B52" s="461"/>
      <c r="C52" s="686"/>
      <c r="H52" s="686"/>
      <c r="I52" s="686"/>
      <c r="J52" s="686"/>
      <c r="K52" s="686"/>
      <c r="L52" s="695" t="s">
        <v>83</v>
      </c>
      <c r="M52" s="696">
        <f ca="1">IF(VLOOKUP($L52,Data!$K:$O,1,TRUE)=$L52,VLOOKUP($L52,Data!$K:$O,5,TRUE),NA())</f>
        <v>0</v>
      </c>
      <c r="N52" s="466"/>
      <c r="O52" s="467"/>
      <c r="P52" s="297"/>
      <c r="Q52" s="297"/>
      <c r="R52" s="297"/>
      <c r="S52" s="297"/>
      <c r="T52" s="467"/>
    </row>
    <row r="53" spans="1:20" ht="14" customHeight="1" x14ac:dyDescent="0.25">
      <c r="A53" s="332"/>
      <c r="B53" s="461"/>
      <c r="C53" s="686"/>
      <c r="H53" s="686"/>
      <c r="I53" s="686"/>
      <c r="J53" s="686"/>
      <c r="K53" s="686"/>
      <c r="L53" s="695" t="s">
        <v>124</v>
      </c>
      <c r="M53" s="696">
        <f ca="1">IF(VLOOKUP($L53,Data!$K:$O,1,TRUE)=$L53,VLOOKUP($L53,Data!$K:$O,5,TRUE),NA())</f>
        <v>0</v>
      </c>
      <c r="N53" s="466"/>
      <c r="O53" s="467"/>
      <c r="P53" s="297"/>
      <c r="Q53" s="297"/>
      <c r="R53" s="297"/>
      <c r="S53" s="297"/>
      <c r="T53" s="467"/>
    </row>
    <row r="54" spans="1:20" ht="14" customHeight="1" x14ac:dyDescent="0.25">
      <c r="A54" s="332"/>
      <c r="B54" s="461"/>
      <c r="C54" s="686"/>
      <c r="H54" s="686"/>
      <c r="I54" s="686"/>
      <c r="J54" s="686"/>
      <c r="K54" s="686"/>
      <c r="L54" s="695" t="s">
        <v>127</v>
      </c>
      <c r="M54" s="696">
        <f ca="1">IF(VLOOKUP($L54,Data!$K:$O,1,TRUE)=$L54,VLOOKUP($L54,Data!$K:$O,5,TRUE),NA())</f>
        <v>0</v>
      </c>
      <c r="N54" s="466"/>
      <c r="O54" s="467"/>
      <c r="P54" s="297"/>
      <c r="Q54" s="297"/>
      <c r="R54" s="297"/>
      <c r="S54" s="297"/>
      <c r="T54" s="467"/>
    </row>
    <row r="55" spans="1:20" ht="14" customHeight="1" x14ac:dyDescent="0.25">
      <c r="A55" s="332"/>
      <c r="B55" s="461"/>
      <c r="C55" s="686"/>
      <c r="H55" s="686"/>
      <c r="I55" s="686"/>
      <c r="J55" s="686"/>
      <c r="K55" s="686"/>
      <c r="L55" s="695" t="s">
        <v>130</v>
      </c>
      <c r="M55" s="696">
        <f ca="1">IF(VLOOKUP($L55,Data!$K:$O,1,TRUE)=$L55,VLOOKUP($L55,Data!$K:$O,5,TRUE),NA())</f>
        <v>1</v>
      </c>
      <c r="N55" s="466"/>
      <c r="O55" s="467"/>
      <c r="P55" s="297"/>
      <c r="Q55" s="297"/>
      <c r="R55" s="297"/>
      <c r="S55" s="297"/>
      <c r="T55" s="467"/>
    </row>
    <row r="56" spans="1:20" ht="14" customHeight="1" x14ac:dyDescent="0.25">
      <c r="A56" s="332"/>
      <c r="B56" s="461"/>
      <c r="C56" s="686"/>
      <c r="H56" s="686"/>
      <c r="I56" s="686"/>
      <c r="J56" s="686"/>
      <c r="K56" s="686"/>
      <c r="L56" s="695" t="s">
        <v>133</v>
      </c>
      <c r="M56" s="696">
        <f ca="1">IF(VLOOKUP($L56,Data!$K:$O,1,TRUE)=$L56,VLOOKUP($L56,Data!$K:$O,5,TRUE),NA())</f>
        <v>0</v>
      </c>
      <c r="N56" s="466"/>
      <c r="O56" s="467"/>
      <c r="P56" s="297"/>
      <c r="Q56" s="297"/>
      <c r="R56" s="297"/>
      <c r="S56" s="297"/>
      <c r="T56" s="467"/>
    </row>
    <row r="57" spans="1:20" ht="14" customHeight="1" x14ac:dyDescent="0.25">
      <c r="A57" s="332"/>
      <c r="B57" s="461"/>
      <c r="C57" s="686"/>
      <c r="H57" s="686"/>
      <c r="I57" s="686"/>
      <c r="J57" s="686"/>
      <c r="K57" s="686"/>
      <c r="L57" s="695" t="s">
        <v>136</v>
      </c>
      <c r="M57" s="696">
        <f ca="1">IF(VLOOKUP($L57,Data!$K:$O,1,TRUE)=$L57,VLOOKUP($L57,Data!$K:$O,5,TRUE),NA())</f>
        <v>1</v>
      </c>
      <c r="N57" s="466"/>
      <c r="O57" s="467"/>
      <c r="P57" s="297"/>
      <c r="Q57" s="297"/>
      <c r="R57" s="297"/>
      <c r="S57" s="297"/>
      <c r="T57" s="467"/>
    </row>
    <row r="58" spans="1:20" ht="14" customHeight="1" x14ac:dyDescent="0.25">
      <c r="A58" s="332"/>
      <c r="B58" s="461"/>
      <c r="C58" s="686"/>
      <c r="H58" s="686"/>
      <c r="I58" s="686"/>
      <c r="J58" s="686"/>
      <c r="K58" s="686"/>
      <c r="L58" s="695" t="s">
        <v>85</v>
      </c>
      <c r="M58" s="696">
        <f ca="1">IF(VLOOKUP($L58,Data!$K:$O,1,TRUE)=$L58,VLOOKUP($L58,Data!$K:$O,5,TRUE),NA())</f>
        <v>0</v>
      </c>
      <c r="N58" s="466"/>
      <c r="O58" s="467"/>
      <c r="P58" s="297"/>
      <c r="Q58" s="297"/>
      <c r="R58" s="297"/>
      <c r="S58" s="297"/>
      <c r="T58" s="467"/>
    </row>
    <row r="59" spans="1:20" ht="14" customHeight="1" x14ac:dyDescent="0.25">
      <c r="A59" s="332"/>
      <c r="B59" s="461"/>
      <c r="C59" s="686"/>
      <c r="H59" s="686"/>
      <c r="I59" s="686"/>
      <c r="J59" s="686"/>
      <c r="K59" s="686"/>
      <c r="L59" s="695" t="s">
        <v>141</v>
      </c>
      <c r="M59" s="696">
        <f ca="1">IF(VLOOKUP($L59,Data!$K:$O,1,TRUE)=$L59,VLOOKUP($L59,Data!$K:$O,5,TRUE),NA())</f>
        <v>0</v>
      </c>
      <c r="N59" s="466"/>
      <c r="O59" s="467"/>
      <c r="P59" s="297"/>
      <c r="Q59" s="297"/>
      <c r="R59" s="297"/>
      <c r="S59" s="297"/>
      <c r="T59" s="467"/>
    </row>
    <row r="60" spans="1:20" ht="14" customHeight="1" x14ac:dyDescent="0.25">
      <c r="A60" s="332"/>
      <c r="B60" s="461"/>
      <c r="C60" s="686"/>
      <c r="H60" s="686"/>
      <c r="I60" s="686"/>
      <c r="J60" s="686"/>
      <c r="K60" s="686"/>
      <c r="L60" s="695" t="s">
        <v>144</v>
      </c>
      <c r="M60" s="696">
        <f ca="1">IF(VLOOKUP($L60,Data!$K:$O,1,TRUE)=$L60,VLOOKUP($L60,Data!$K:$O,5,TRUE),NA())</f>
        <v>0</v>
      </c>
      <c r="N60" s="466"/>
      <c r="O60" s="467"/>
      <c r="P60" s="297"/>
      <c r="Q60" s="297"/>
      <c r="R60" s="297"/>
      <c r="S60" s="297"/>
      <c r="T60" s="467"/>
    </row>
    <row r="61" spans="1:20" ht="14" customHeight="1" x14ac:dyDescent="0.25">
      <c r="A61" s="332"/>
      <c r="B61" s="461"/>
      <c r="C61" s="686"/>
      <c r="H61" s="686"/>
      <c r="I61" s="686"/>
      <c r="J61" s="686"/>
      <c r="K61" s="686"/>
      <c r="L61" s="695" t="s">
        <v>147</v>
      </c>
      <c r="M61" s="696">
        <f ca="1">IF(VLOOKUP($L61,Data!$K:$O,1,TRUE)=$L61,VLOOKUP($L61,Data!$K:$O,5,TRUE),NA())</f>
        <v>0</v>
      </c>
      <c r="N61" s="466"/>
      <c r="O61" s="467"/>
      <c r="P61" s="297"/>
      <c r="Q61" s="297"/>
      <c r="R61" s="297"/>
      <c r="S61" s="297"/>
      <c r="T61" s="467"/>
    </row>
    <row r="62" spans="1:20" ht="14" customHeight="1" x14ac:dyDescent="0.25">
      <c r="A62" s="332"/>
      <c r="B62" s="461"/>
      <c r="C62" s="686"/>
      <c r="H62" s="686"/>
      <c r="I62" s="686"/>
      <c r="J62" s="686"/>
      <c r="K62" s="686"/>
      <c r="L62" s="695" t="s">
        <v>150</v>
      </c>
      <c r="M62" s="696">
        <f ca="1">IF(VLOOKUP($L62,Data!$K:$O,1,TRUE)=$L62,VLOOKUP($L62,Data!$K:$O,5,TRUE),NA())</f>
        <v>1</v>
      </c>
      <c r="N62" s="466"/>
      <c r="O62" s="467"/>
      <c r="P62" s="297"/>
      <c r="Q62" s="297"/>
      <c r="R62" s="297"/>
      <c r="S62" s="297"/>
      <c r="T62" s="467"/>
    </row>
    <row r="63" spans="1:20" ht="14" customHeight="1" x14ac:dyDescent="0.25">
      <c r="A63" s="332"/>
      <c r="B63" s="461"/>
      <c r="C63" s="686"/>
      <c r="H63" s="686"/>
      <c r="I63" s="686"/>
      <c r="J63" s="686"/>
      <c r="K63" s="686"/>
      <c r="L63" s="695" t="s">
        <v>60</v>
      </c>
      <c r="M63" s="696">
        <f ca="1">IF(VLOOKUP($L63,Data!$K:$O,1,TRUE)=$L63,VLOOKUP($L63,Data!$K:$O,5,TRUE),NA())</f>
        <v>0</v>
      </c>
      <c r="N63" s="466"/>
      <c r="O63" s="467"/>
      <c r="P63" s="297"/>
      <c r="Q63" s="297"/>
      <c r="R63" s="297"/>
      <c r="S63" s="297"/>
      <c r="T63" s="467"/>
    </row>
    <row r="64" spans="1:20" ht="14" customHeight="1" x14ac:dyDescent="0.25">
      <c r="A64" s="332"/>
      <c r="B64" s="461"/>
      <c r="C64" s="686"/>
      <c r="H64" s="686"/>
      <c r="I64" s="686"/>
      <c r="J64" s="686"/>
      <c r="K64" s="686"/>
      <c r="L64" s="695" t="s">
        <v>157</v>
      </c>
      <c r="M64" s="696">
        <f ca="1">IF(VLOOKUP($L64,Data!$K:$O,1,TRUE)=$L64,VLOOKUP($L64,Data!$K:$O,5,TRUE),NA())</f>
        <v>0</v>
      </c>
      <c r="N64" s="466"/>
      <c r="O64" s="467"/>
      <c r="P64" s="297"/>
      <c r="Q64" s="297"/>
      <c r="R64" s="297"/>
      <c r="S64" s="297"/>
      <c r="T64" s="467"/>
    </row>
    <row r="65" spans="1:20" ht="14" customHeight="1" x14ac:dyDescent="0.25">
      <c r="A65" s="332"/>
      <c r="B65" s="461"/>
      <c r="C65" s="686"/>
      <c r="H65" s="686"/>
      <c r="I65" s="686"/>
      <c r="J65" s="686"/>
      <c r="K65" s="686"/>
      <c r="L65" s="695" t="s">
        <v>160</v>
      </c>
      <c r="M65" s="696">
        <f ca="1">IF(VLOOKUP($L65,Data!$K:$O,1,TRUE)=$L65,VLOOKUP($L65,Data!$K:$O,5,TRUE),NA())</f>
        <v>0</v>
      </c>
      <c r="N65" s="466"/>
      <c r="O65" s="467"/>
      <c r="P65" s="297"/>
      <c r="Q65" s="297"/>
      <c r="R65" s="297"/>
      <c r="S65" s="297"/>
      <c r="T65" s="467"/>
    </row>
    <row r="66" spans="1:20" ht="14" customHeight="1" x14ac:dyDescent="0.25">
      <c r="A66" s="332"/>
      <c r="B66" s="461"/>
      <c r="C66" s="686"/>
      <c r="H66" s="686"/>
      <c r="I66" s="686"/>
      <c r="J66" s="686"/>
      <c r="K66" s="686"/>
      <c r="L66" s="695" t="s">
        <v>162</v>
      </c>
      <c r="M66" s="696">
        <f ca="1">IF(VLOOKUP($L66,Data!$K:$O,1,TRUE)=$L66,VLOOKUP($L66,Data!$K:$O,5,TRUE),NA())</f>
        <v>0</v>
      </c>
      <c r="N66" s="466"/>
      <c r="O66" s="467"/>
      <c r="P66" s="297"/>
      <c r="Q66" s="297"/>
      <c r="R66" s="297"/>
      <c r="S66" s="297"/>
      <c r="T66" s="467"/>
    </row>
    <row r="67" spans="1:20" ht="14" customHeight="1" x14ac:dyDescent="0.25">
      <c r="A67" s="332"/>
      <c r="B67" s="461"/>
      <c r="C67" s="686"/>
      <c r="H67" s="686"/>
      <c r="I67" s="686"/>
      <c r="J67" s="686"/>
      <c r="K67" s="686"/>
      <c r="L67" s="702" t="s">
        <v>44</v>
      </c>
      <c r="M67" s="703">
        <f ca="1">IF(VLOOKUP($L67,Data!$C:$H,1,TRUE)=$L67,VLOOKUP($L67,Data!$C:$H,6,TRUE),NA())</f>
        <v>0</v>
      </c>
      <c r="N67" s="466"/>
      <c r="O67" s="467"/>
      <c r="P67" s="297"/>
      <c r="Q67" s="297"/>
      <c r="R67" s="297"/>
      <c r="S67" s="297"/>
      <c r="T67" s="467"/>
    </row>
    <row r="68" spans="1:20" ht="14" customHeight="1" x14ac:dyDescent="0.25">
      <c r="A68" s="332"/>
      <c r="B68" s="461"/>
      <c r="C68" s="686"/>
      <c r="H68" s="686"/>
      <c r="I68" s="686"/>
      <c r="J68" s="686"/>
      <c r="K68" s="686"/>
      <c r="L68" s="702" t="s">
        <v>45</v>
      </c>
      <c r="M68" s="703">
        <f ca="1">IF(VLOOKUP($L68,Data!$C:$H,1,TRUE)=$L68,VLOOKUP($L68,Data!$C:$H,6,TRUE),NA())</f>
        <v>0</v>
      </c>
      <c r="N68" s="466"/>
      <c r="O68" s="467"/>
      <c r="P68" s="297"/>
      <c r="Q68" s="297"/>
      <c r="R68" s="297"/>
      <c r="S68" s="297"/>
      <c r="T68" s="467"/>
    </row>
    <row r="69" spans="1:20" ht="14" customHeight="1" x14ac:dyDescent="0.25">
      <c r="A69" s="332"/>
      <c r="B69" s="461"/>
      <c r="C69" s="686"/>
      <c r="H69" s="686"/>
      <c r="I69" s="686"/>
      <c r="J69" s="686"/>
      <c r="K69" s="686"/>
      <c r="L69" s="702" t="s">
        <v>46</v>
      </c>
      <c r="M69" s="703">
        <f ca="1">IF(VLOOKUP($L69,Data!$C:$H,1,TRUE)=$L69,VLOOKUP($L69,Data!$C:$H,6,TRUE),NA())</f>
        <v>0</v>
      </c>
      <c r="N69" s="466"/>
      <c r="O69" s="467"/>
      <c r="P69" s="297"/>
      <c r="Q69" s="297"/>
      <c r="R69" s="297"/>
      <c r="S69" s="297"/>
      <c r="T69" s="467"/>
    </row>
    <row r="70" spans="1:20" ht="14" customHeight="1" x14ac:dyDescent="0.25">
      <c r="A70" s="332"/>
      <c r="B70" s="461"/>
      <c r="C70" s="686"/>
      <c r="H70" s="686"/>
      <c r="I70" s="686"/>
      <c r="J70" s="686"/>
      <c r="K70" s="686"/>
      <c r="L70" s="702" t="s">
        <v>48</v>
      </c>
      <c r="M70" s="703">
        <f ca="1">IF(VLOOKUP($L70,Data!$C:$H,1,TRUE)=$L70,VLOOKUP($L70,Data!$C:$H,6,TRUE),NA())</f>
        <v>0</v>
      </c>
      <c r="N70" s="466"/>
      <c r="O70" s="467"/>
      <c r="P70" s="297"/>
      <c r="Q70" s="297"/>
      <c r="R70" s="297"/>
      <c r="S70" s="297"/>
      <c r="T70" s="467"/>
    </row>
    <row r="71" spans="1:20" ht="14" customHeight="1" x14ac:dyDescent="0.25">
      <c r="A71" s="332"/>
      <c r="B71" s="461"/>
      <c r="C71" s="686"/>
      <c r="H71" s="686"/>
      <c r="I71" s="686"/>
      <c r="J71" s="686"/>
      <c r="K71" s="686"/>
      <c r="L71" s="702" t="s">
        <v>50</v>
      </c>
      <c r="M71" s="703">
        <f ca="1">IF(VLOOKUP($L71,Data!$C:$H,1,TRUE)=$L71,VLOOKUP($L71,Data!$C:$H,6,TRUE),NA())</f>
        <v>0</v>
      </c>
      <c r="N71" s="466"/>
      <c r="O71" s="467"/>
      <c r="P71" s="297"/>
      <c r="Q71" s="297"/>
      <c r="R71" s="297"/>
      <c r="S71" s="297"/>
      <c r="T71" s="467"/>
    </row>
    <row r="72" spans="1:20" ht="14" customHeight="1" x14ac:dyDescent="0.25">
      <c r="A72" s="332"/>
      <c r="B72" s="461"/>
      <c r="C72" s="686"/>
      <c r="H72" s="686"/>
      <c r="I72" s="686"/>
      <c r="J72" s="686"/>
      <c r="K72" s="686"/>
      <c r="L72" s="702" t="s">
        <v>52</v>
      </c>
      <c r="M72" s="703">
        <f ca="1">IF(VLOOKUP($L72,Data!$C:$H,1,TRUE)=$L72,VLOOKUP($L72,Data!$C:$H,6,TRUE),NA())</f>
        <v>0</v>
      </c>
      <c r="N72" s="466"/>
      <c r="O72" s="467"/>
      <c r="P72" s="297"/>
      <c r="Q72" s="297"/>
      <c r="R72" s="297"/>
      <c r="S72" s="297"/>
      <c r="T72" s="467"/>
    </row>
    <row r="73" spans="1:20" ht="14" customHeight="1" x14ac:dyDescent="0.25">
      <c r="A73" s="332"/>
      <c r="B73" s="461"/>
      <c r="C73" s="686"/>
      <c r="H73" s="686"/>
      <c r="I73" s="686"/>
      <c r="J73" s="686"/>
      <c r="K73" s="686"/>
      <c r="L73" s="702" t="s">
        <v>54</v>
      </c>
      <c r="M73" s="703">
        <f ca="1">IF(VLOOKUP($L73,Data!$C:$H,1,TRUE)=$L73,VLOOKUP($L73,Data!$C:$H,6,TRUE),NA())</f>
        <v>0</v>
      </c>
      <c r="N73" s="466"/>
      <c r="O73" s="467"/>
      <c r="P73" s="297"/>
      <c r="Q73" s="297"/>
      <c r="R73" s="297"/>
      <c r="S73" s="297"/>
      <c r="T73" s="467"/>
    </row>
    <row r="74" spans="1:20" ht="14" customHeight="1" x14ac:dyDescent="0.25">
      <c r="A74" s="332"/>
      <c r="B74" s="461"/>
      <c r="C74" s="686"/>
      <c r="H74" s="686"/>
      <c r="I74" s="686"/>
      <c r="J74" s="686"/>
      <c r="K74" s="686"/>
      <c r="L74" s="702" t="s">
        <v>56</v>
      </c>
      <c r="M74" s="703">
        <f ca="1">IF(VLOOKUP($L74,Data!$C:$H,1,TRUE)=$L74,VLOOKUP($L74,Data!$C:$H,6,TRUE),NA())</f>
        <v>0</v>
      </c>
      <c r="N74" s="466"/>
      <c r="O74" s="467"/>
      <c r="P74" s="297"/>
      <c r="Q74" s="297"/>
      <c r="R74" s="297"/>
      <c r="S74" s="297"/>
      <c r="T74" s="467"/>
    </row>
    <row r="75" spans="1:20" ht="14" customHeight="1" x14ac:dyDescent="0.25">
      <c r="A75" s="332"/>
      <c r="B75" s="461"/>
      <c r="C75" s="686"/>
      <c r="H75" s="686"/>
      <c r="I75" s="686"/>
      <c r="J75" s="686"/>
      <c r="K75" s="686"/>
      <c r="L75" s="702" t="s">
        <v>58</v>
      </c>
      <c r="M75" s="703">
        <f ca="1">IF(VLOOKUP($L75,Data!$C:$H,1,TRUE)=$L75,VLOOKUP($L75,Data!$C:$H,6,TRUE),NA())</f>
        <v>0</v>
      </c>
      <c r="N75" s="466"/>
      <c r="O75" s="467"/>
      <c r="P75" s="297"/>
      <c r="Q75" s="297"/>
      <c r="R75" s="297"/>
      <c r="S75" s="297"/>
      <c r="T75" s="467"/>
    </row>
    <row r="76" spans="1:20" ht="14" customHeight="1" x14ac:dyDescent="0.25">
      <c r="A76" s="332"/>
      <c r="B76" s="461"/>
      <c r="C76" s="686"/>
      <c r="H76" s="686"/>
      <c r="I76" s="686"/>
      <c r="J76" s="686"/>
      <c r="K76" s="686"/>
      <c r="L76" s="702" t="s">
        <v>61</v>
      </c>
      <c r="M76" s="703">
        <f ca="1">IF(VLOOKUP($L76,Data!$C:$H,1,TRUE)=$L76,VLOOKUP($L76,Data!$C:$H,6,TRUE),NA())</f>
        <v>0</v>
      </c>
      <c r="N76" s="466"/>
      <c r="O76" s="467"/>
      <c r="P76" s="297"/>
      <c r="Q76" s="297"/>
      <c r="R76" s="297"/>
      <c r="S76" s="297"/>
      <c r="T76" s="467"/>
    </row>
    <row r="77" spans="1:20" ht="14" customHeight="1" x14ac:dyDescent="0.25">
      <c r="A77" s="332"/>
      <c r="B77" s="461"/>
      <c r="C77" s="686"/>
      <c r="H77" s="686"/>
      <c r="I77" s="686"/>
      <c r="J77" s="686"/>
      <c r="K77" s="686"/>
      <c r="L77" s="702" t="s">
        <v>63</v>
      </c>
      <c r="M77" s="703">
        <f ca="1">IF(VLOOKUP($L77,Data!$C:$H,1,TRUE)=$L77,VLOOKUP($L77,Data!$C:$H,6,TRUE),NA())</f>
        <v>0</v>
      </c>
      <c r="N77" s="466"/>
      <c r="O77" s="467"/>
      <c r="P77" s="297"/>
      <c r="Q77" s="297"/>
      <c r="R77" s="297"/>
      <c r="S77" s="297"/>
      <c r="T77" s="467"/>
    </row>
    <row r="78" spans="1:20" ht="14" customHeight="1" x14ac:dyDescent="0.25">
      <c r="A78" s="332"/>
      <c r="B78" s="461"/>
      <c r="C78" s="686"/>
      <c r="H78" s="686"/>
      <c r="I78" s="686"/>
      <c r="J78" s="686"/>
      <c r="K78" s="686"/>
      <c r="L78" s="702" t="s">
        <v>65</v>
      </c>
      <c r="M78" s="703">
        <f ca="1">IF(VLOOKUP($L78,Data!$C:$H,1,TRUE)=$L78,VLOOKUP($L78,Data!$C:$H,6,TRUE),NA())</f>
        <v>0</v>
      </c>
      <c r="N78" s="466"/>
      <c r="O78" s="467"/>
      <c r="P78" s="297"/>
      <c r="Q78" s="297"/>
      <c r="R78" s="297"/>
      <c r="S78" s="297"/>
      <c r="T78" s="467"/>
    </row>
    <row r="79" spans="1:20" ht="14" customHeight="1" x14ac:dyDescent="0.25">
      <c r="A79" s="332"/>
      <c r="B79" s="461"/>
      <c r="C79" s="686"/>
      <c r="H79" s="686"/>
      <c r="I79" s="686"/>
      <c r="J79" s="686"/>
      <c r="K79" s="686"/>
      <c r="L79" s="702" t="s">
        <v>67</v>
      </c>
      <c r="M79" s="703">
        <f ca="1">IF(VLOOKUP($L79,Data!$C:$H,1,TRUE)=$L79,VLOOKUP($L79,Data!$C:$H,6,TRUE),NA())</f>
        <v>0</v>
      </c>
      <c r="N79" s="466"/>
      <c r="O79" s="467"/>
      <c r="P79" s="297"/>
      <c r="Q79" s="297"/>
      <c r="R79" s="297"/>
      <c r="S79" s="297"/>
      <c r="T79" s="467"/>
    </row>
    <row r="80" spans="1:20" ht="14" customHeight="1" x14ac:dyDescent="0.25">
      <c r="A80" s="332"/>
      <c r="B80" s="461"/>
      <c r="C80" s="686"/>
      <c r="H80" s="686"/>
      <c r="I80" s="686"/>
      <c r="J80" s="686"/>
      <c r="K80" s="686"/>
      <c r="L80" s="702" t="s">
        <v>70</v>
      </c>
      <c r="M80" s="703">
        <f ca="1">IF(VLOOKUP($L80,Data!$C:$H,1,TRUE)=$L80,VLOOKUP($L80,Data!$C:$H,6,TRUE),NA())</f>
        <v>0</v>
      </c>
      <c r="N80" s="466"/>
      <c r="O80" s="467"/>
      <c r="P80" s="297"/>
      <c r="Q80" s="297"/>
      <c r="R80" s="297"/>
      <c r="S80" s="297"/>
      <c r="T80" s="467"/>
    </row>
    <row r="81" spans="1:20" ht="14" customHeight="1" x14ac:dyDescent="0.25">
      <c r="A81" s="332"/>
      <c r="B81" s="461"/>
      <c r="C81" s="686"/>
      <c r="H81" s="686"/>
      <c r="I81" s="686"/>
      <c r="J81" s="686"/>
      <c r="K81" s="686"/>
      <c r="L81" s="702" t="s">
        <v>73</v>
      </c>
      <c r="M81" s="703">
        <f ca="1">IF(VLOOKUP($L81,Data!$C:$H,1,TRUE)=$L81,VLOOKUP($L81,Data!$C:$H,6,TRUE),NA())</f>
        <v>0</v>
      </c>
      <c r="N81" s="466"/>
      <c r="O81" s="467"/>
      <c r="P81" s="297"/>
      <c r="Q81" s="297"/>
      <c r="R81" s="297"/>
      <c r="S81" s="297"/>
      <c r="T81" s="467"/>
    </row>
    <row r="82" spans="1:20" ht="14" customHeight="1" x14ac:dyDescent="0.25">
      <c r="A82" s="332"/>
      <c r="B82" s="461"/>
      <c r="C82" s="686"/>
      <c r="H82" s="686"/>
      <c r="I82" s="686"/>
      <c r="J82" s="686"/>
      <c r="K82" s="686"/>
      <c r="L82" s="702" t="s">
        <v>75</v>
      </c>
      <c r="M82" s="703">
        <f ca="1">IF(VLOOKUP($L82,Data!$C:$H,1,TRUE)=$L82,VLOOKUP($L82,Data!$C:$H,6,TRUE),NA())</f>
        <v>0</v>
      </c>
      <c r="N82" s="466"/>
      <c r="O82" s="467"/>
      <c r="P82" s="297"/>
      <c r="Q82" s="297"/>
      <c r="R82" s="297"/>
      <c r="S82" s="297"/>
      <c r="T82" s="467"/>
    </row>
    <row r="83" spans="1:20" ht="14" customHeight="1" x14ac:dyDescent="0.25">
      <c r="A83" s="332"/>
      <c r="B83" s="461"/>
      <c r="C83" s="686"/>
      <c r="H83" s="686"/>
      <c r="I83" s="686"/>
      <c r="J83" s="686"/>
      <c r="K83" s="686"/>
      <c r="L83" s="702" t="s">
        <v>78</v>
      </c>
      <c r="M83" s="703">
        <f ca="1">IF(VLOOKUP($L83,Data!$C:$H,1,TRUE)=$L83,VLOOKUP($L83,Data!$C:$H,6,TRUE),NA())</f>
        <v>0</v>
      </c>
      <c r="N83" s="466"/>
      <c r="O83" s="467"/>
      <c r="P83" s="297"/>
      <c r="Q83" s="297"/>
      <c r="R83" s="297"/>
      <c r="S83" s="297"/>
      <c r="T83" s="467"/>
    </row>
    <row r="84" spans="1:20" ht="14" customHeight="1" x14ac:dyDescent="0.25">
      <c r="A84" s="332"/>
      <c r="B84" s="461"/>
      <c r="C84" s="686"/>
      <c r="H84" s="686"/>
      <c r="I84" s="686"/>
      <c r="J84" s="686"/>
      <c r="K84" s="686"/>
      <c r="L84" s="702" t="s">
        <v>81</v>
      </c>
      <c r="M84" s="703">
        <f ca="1">IF(VLOOKUP($L84,Data!$C:$H,1,TRUE)=$L84,VLOOKUP($L84,Data!$C:$H,6,TRUE),NA())</f>
        <v>0</v>
      </c>
      <c r="N84" s="466"/>
      <c r="O84" s="467"/>
      <c r="P84" s="297"/>
      <c r="Q84" s="297"/>
      <c r="R84" s="297"/>
      <c r="S84" s="297"/>
      <c r="T84" s="467"/>
    </row>
    <row r="85" spans="1:20" ht="14" customHeight="1" x14ac:dyDescent="0.25">
      <c r="A85" s="332"/>
      <c r="B85" s="461"/>
      <c r="C85" s="686"/>
      <c r="H85" s="686"/>
      <c r="I85" s="686"/>
      <c r="J85" s="686"/>
      <c r="K85" s="686"/>
      <c r="L85" s="702" t="s">
        <v>84</v>
      </c>
      <c r="M85" s="703">
        <f ca="1">IF(VLOOKUP($L85,Data!$C:$H,1,TRUE)=$L85,VLOOKUP($L85,Data!$C:$H,6,TRUE),NA())</f>
        <v>0</v>
      </c>
      <c r="N85" s="466"/>
      <c r="O85" s="467"/>
      <c r="P85" s="297"/>
      <c r="Q85" s="297"/>
      <c r="R85" s="297"/>
      <c r="S85" s="297"/>
      <c r="T85" s="467"/>
    </row>
    <row r="86" spans="1:20" ht="14" customHeight="1" x14ac:dyDescent="0.25">
      <c r="A86" s="332"/>
      <c r="B86" s="461"/>
      <c r="C86" s="686"/>
      <c r="H86" s="686"/>
      <c r="I86" s="686"/>
      <c r="J86" s="686"/>
      <c r="K86" s="686"/>
      <c r="L86" s="702" t="s">
        <v>86</v>
      </c>
      <c r="M86" s="703">
        <f ca="1">IF(VLOOKUP($L86,Data!$C:$H,1,TRUE)=$L86,VLOOKUP($L86,Data!$C:$H,6,TRUE),NA())</f>
        <v>0</v>
      </c>
      <c r="N86" s="466"/>
      <c r="O86" s="467"/>
      <c r="P86" s="297"/>
      <c r="Q86" s="297"/>
      <c r="R86" s="297"/>
      <c r="S86" s="297"/>
      <c r="T86" s="467"/>
    </row>
    <row r="87" spans="1:20" ht="14" customHeight="1" x14ac:dyDescent="0.25">
      <c r="A87" s="332"/>
      <c r="B87" s="461"/>
      <c r="C87" s="686"/>
      <c r="H87" s="686"/>
      <c r="I87" s="686"/>
      <c r="J87" s="686"/>
      <c r="K87" s="686"/>
      <c r="L87" s="702" t="s">
        <v>88</v>
      </c>
      <c r="M87" s="703">
        <f ca="1">IF(VLOOKUP($L87,Data!$C:$H,1,TRUE)=$L87,VLOOKUP($L87,Data!$C:$H,6,TRUE),NA())</f>
        <v>0</v>
      </c>
      <c r="N87" s="466"/>
      <c r="O87" s="467"/>
      <c r="P87" s="297"/>
      <c r="Q87" s="297"/>
      <c r="R87" s="297"/>
      <c r="S87" s="297"/>
      <c r="T87" s="467"/>
    </row>
    <row r="88" spans="1:20" ht="14" customHeight="1" x14ac:dyDescent="0.25">
      <c r="A88" s="332"/>
      <c r="B88" s="461"/>
      <c r="C88" s="686"/>
      <c r="H88" s="686"/>
      <c r="I88" s="686"/>
      <c r="J88" s="686"/>
      <c r="K88" s="686"/>
      <c r="L88" s="702" t="s">
        <v>90</v>
      </c>
      <c r="M88" s="703">
        <f ca="1">IF(VLOOKUP($L88,Data!$C:$H,1,TRUE)=$L88,VLOOKUP($L88,Data!$C:$H,6,TRUE),NA())</f>
        <v>0</v>
      </c>
      <c r="N88" s="466"/>
      <c r="O88" s="467"/>
      <c r="P88" s="297"/>
      <c r="Q88" s="297"/>
      <c r="R88" s="297"/>
      <c r="S88" s="297"/>
      <c r="T88" s="467"/>
    </row>
    <row r="89" spans="1:20" ht="14" customHeight="1" x14ac:dyDescent="0.25">
      <c r="A89" s="332"/>
      <c r="B89" s="461"/>
      <c r="C89" s="686"/>
      <c r="H89" s="686"/>
      <c r="I89" s="686"/>
      <c r="J89" s="686"/>
      <c r="K89" s="686"/>
      <c r="L89" s="702" t="s">
        <v>92</v>
      </c>
      <c r="M89" s="703">
        <f ca="1">IF(VLOOKUP($L89,Data!$C:$H,1,TRUE)=$L89,VLOOKUP($L89,Data!$C:$H,6,TRUE),NA())</f>
        <v>0</v>
      </c>
      <c r="N89" s="466"/>
      <c r="O89" s="467"/>
      <c r="P89" s="297"/>
      <c r="Q89" s="297"/>
      <c r="R89" s="297"/>
      <c r="S89" s="297"/>
      <c r="T89" s="467"/>
    </row>
    <row r="90" spans="1:20" ht="14" customHeight="1" x14ac:dyDescent="0.25">
      <c r="A90" s="332"/>
      <c r="B90" s="461"/>
      <c r="C90" s="686"/>
      <c r="H90" s="686"/>
      <c r="I90" s="686"/>
      <c r="J90" s="686"/>
      <c r="K90" s="686"/>
      <c r="L90" s="702" t="s">
        <v>94</v>
      </c>
      <c r="M90" s="703">
        <f ca="1">IF(VLOOKUP($L90,Data!$C:$H,1,TRUE)=$L90,VLOOKUP($L90,Data!$C:$H,6,TRUE),NA())</f>
        <v>0</v>
      </c>
      <c r="N90" s="466"/>
      <c r="O90" s="467"/>
      <c r="P90" s="297"/>
      <c r="Q90" s="297"/>
      <c r="R90" s="297"/>
      <c r="S90" s="297"/>
      <c r="T90" s="467"/>
    </row>
    <row r="91" spans="1:20" ht="14" customHeight="1" x14ac:dyDescent="0.25">
      <c r="A91" s="332"/>
      <c r="B91" s="461"/>
      <c r="C91" s="686"/>
      <c r="H91" s="686"/>
      <c r="I91" s="686"/>
      <c r="J91" s="686"/>
      <c r="K91" s="686"/>
      <c r="L91" s="702" t="s">
        <v>95</v>
      </c>
      <c r="M91" s="703">
        <f ca="1">IF(VLOOKUP($L91,Data!$C:$H,1,TRUE)=$L91,VLOOKUP($L91,Data!$C:$H,6,TRUE),NA())</f>
        <v>0</v>
      </c>
      <c r="N91" s="466"/>
      <c r="O91" s="467"/>
      <c r="P91" s="297"/>
      <c r="Q91" s="297"/>
      <c r="R91" s="297"/>
      <c r="S91" s="297"/>
      <c r="T91" s="467"/>
    </row>
    <row r="92" spans="1:20" ht="14" customHeight="1" x14ac:dyDescent="0.25">
      <c r="A92" s="332"/>
      <c r="B92" s="461"/>
      <c r="C92" s="686"/>
      <c r="H92" s="686"/>
      <c r="I92" s="686"/>
      <c r="J92" s="686"/>
      <c r="K92" s="686"/>
      <c r="L92" s="702" t="s">
        <v>97</v>
      </c>
      <c r="M92" s="703">
        <f ca="1">IF(VLOOKUP($L92,Data!$C:$H,1,TRUE)=$L92,VLOOKUP($L92,Data!$C:$H,6,TRUE),NA())</f>
        <v>0</v>
      </c>
      <c r="N92" s="466"/>
      <c r="O92" s="467"/>
      <c r="P92" s="297"/>
      <c r="Q92" s="297"/>
      <c r="R92" s="297"/>
      <c r="S92" s="297"/>
      <c r="T92" s="467"/>
    </row>
    <row r="93" spans="1:20" ht="14" customHeight="1" x14ac:dyDescent="0.25">
      <c r="A93" s="332"/>
      <c r="B93" s="461"/>
      <c r="C93" s="686"/>
      <c r="H93" s="686"/>
      <c r="I93" s="686"/>
      <c r="J93" s="686"/>
      <c r="K93" s="686"/>
      <c r="L93" s="702" t="s">
        <v>99</v>
      </c>
      <c r="M93" s="703">
        <f ca="1">IF(VLOOKUP($L93,Data!$C:$H,1,TRUE)=$L93,VLOOKUP($L93,Data!$C:$H,6,TRUE),NA())</f>
        <v>0</v>
      </c>
      <c r="N93" s="466"/>
      <c r="O93" s="467"/>
      <c r="P93" s="297"/>
      <c r="Q93" s="297"/>
      <c r="R93" s="297"/>
      <c r="S93" s="297"/>
      <c r="T93" s="467"/>
    </row>
    <row r="94" spans="1:20" ht="14" customHeight="1" x14ac:dyDescent="0.25">
      <c r="A94" s="332"/>
      <c r="B94" s="461"/>
      <c r="C94" s="686"/>
      <c r="H94" s="686"/>
      <c r="I94" s="686"/>
      <c r="J94" s="686"/>
      <c r="K94" s="686"/>
      <c r="L94" s="702" t="s">
        <v>101</v>
      </c>
      <c r="M94" s="703">
        <f ca="1">IF(VLOOKUP($L94,Data!$C:$H,1,TRUE)=$L94,VLOOKUP($L94,Data!$C:$H,6,TRUE),NA())</f>
        <v>0</v>
      </c>
      <c r="N94" s="466"/>
      <c r="O94" s="467"/>
      <c r="P94" s="297"/>
      <c r="Q94" s="297"/>
      <c r="R94" s="297"/>
      <c r="S94" s="297"/>
      <c r="T94" s="467"/>
    </row>
    <row r="95" spans="1:20" ht="14" customHeight="1" x14ac:dyDescent="0.25">
      <c r="A95" s="332"/>
      <c r="B95" s="461"/>
      <c r="C95" s="686"/>
      <c r="H95" s="686"/>
      <c r="I95" s="686"/>
      <c r="J95" s="686"/>
      <c r="K95" s="686"/>
      <c r="L95" s="702" t="s">
        <v>103</v>
      </c>
      <c r="M95" s="703">
        <f ca="1">IF(VLOOKUP($L95,Data!$C:$H,1,TRUE)=$L95,VLOOKUP($L95,Data!$C:$H,6,TRUE),NA())</f>
        <v>0</v>
      </c>
      <c r="N95" s="466"/>
      <c r="O95" s="467"/>
      <c r="P95" s="297"/>
      <c r="Q95" s="297"/>
      <c r="R95" s="297"/>
      <c r="S95" s="297"/>
      <c r="T95" s="467"/>
    </row>
    <row r="96" spans="1:20" ht="14" customHeight="1" x14ac:dyDescent="0.25">
      <c r="A96" s="332"/>
      <c r="B96" s="461"/>
      <c r="C96" s="686"/>
      <c r="H96" s="686"/>
      <c r="I96" s="686"/>
      <c r="J96" s="686"/>
      <c r="K96" s="686"/>
      <c r="L96" s="702" t="s">
        <v>104</v>
      </c>
      <c r="M96" s="703">
        <f ca="1">IF(VLOOKUP($L96,Data!$C:$H,1,TRUE)=$L96,VLOOKUP($L96,Data!$C:$H,6,TRUE),NA())</f>
        <v>0</v>
      </c>
      <c r="N96" s="466"/>
      <c r="O96" s="467"/>
      <c r="P96" s="297"/>
      <c r="Q96" s="297"/>
      <c r="R96" s="297"/>
      <c r="S96" s="297"/>
      <c r="T96" s="467"/>
    </row>
    <row r="97" spans="1:20" ht="14" customHeight="1" x14ac:dyDescent="0.25">
      <c r="A97" s="332"/>
      <c r="B97" s="461"/>
      <c r="C97" s="686"/>
      <c r="H97" s="686"/>
      <c r="I97" s="686"/>
      <c r="J97" s="686"/>
      <c r="K97" s="686"/>
      <c r="L97" s="702" t="s">
        <v>106</v>
      </c>
      <c r="M97" s="703">
        <f ca="1">IF(VLOOKUP($L97,Data!$C:$H,1,TRUE)=$L97,VLOOKUP($L97,Data!$C:$H,6,TRUE),NA())</f>
        <v>0</v>
      </c>
      <c r="N97" s="466"/>
      <c r="O97" s="467"/>
      <c r="P97" s="297"/>
      <c r="Q97" s="297"/>
      <c r="R97" s="297"/>
      <c r="S97" s="297"/>
      <c r="T97" s="467"/>
    </row>
    <row r="98" spans="1:20" ht="14" customHeight="1" x14ac:dyDescent="0.25">
      <c r="A98" s="332"/>
      <c r="B98" s="461"/>
      <c r="C98" s="686"/>
      <c r="H98" s="686"/>
      <c r="I98" s="686"/>
      <c r="J98" s="686"/>
      <c r="K98" s="686"/>
      <c r="L98" s="702" t="s">
        <v>108</v>
      </c>
      <c r="M98" s="703">
        <f ca="1">IF(VLOOKUP($L98,Data!$C:$H,1,TRUE)=$L98,VLOOKUP($L98,Data!$C:$H,6,TRUE),NA())</f>
        <v>0</v>
      </c>
      <c r="N98" s="466"/>
      <c r="O98" s="467"/>
      <c r="P98" s="297"/>
      <c r="Q98" s="297"/>
      <c r="R98" s="297"/>
      <c r="S98" s="297"/>
      <c r="T98" s="467"/>
    </row>
    <row r="99" spans="1:20" ht="14" customHeight="1" x14ac:dyDescent="0.25">
      <c r="A99" s="332"/>
      <c r="B99" s="461"/>
      <c r="C99" s="686"/>
      <c r="H99" s="686"/>
      <c r="I99" s="686"/>
      <c r="J99" s="686"/>
      <c r="K99" s="686"/>
      <c r="L99" s="702" t="s">
        <v>110</v>
      </c>
      <c r="M99" s="703">
        <f ca="1">IF(VLOOKUP($L99,Data!$C:$H,1,TRUE)=$L99,VLOOKUP($L99,Data!$C:$H,6,TRUE),NA())</f>
        <v>0</v>
      </c>
      <c r="N99" s="466"/>
      <c r="O99" s="467"/>
      <c r="P99" s="297"/>
      <c r="Q99" s="297"/>
      <c r="R99" s="297"/>
      <c r="S99" s="297"/>
      <c r="T99" s="467"/>
    </row>
    <row r="100" spans="1:20" ht="14" customHeight="1" x14ac:dyDescent="0.25">
      <c r="A100" s="332"/>
      <c r="B100" s="461"/>
      <c r="C100" s="686"/>
      <c r="H100" s="686"/>
      <c r="I100" s="686"/>
      <c r="J100" s="686"/>
      <c r="K100" s="686"/>
      <c r="L100" s="702" t="s">
        <v>111</v>
      </c>
      <c r="M100" s="703">
        <f ca="1">IF(VLOOKUP($L100,Data!$C:$H,1,TRUE)=$L100,VLOOKUP($L100,Data!$C:$H,6,TRUE),NA())</f>
        <v>0</v>
      </c>
      <c r="N100" s="466"/>
      <c r="O100" s="467"/>
      <c r="P100" s="297"/>
      <c r="Q100" s="297"/>
      <c r="R100" s="297"/>
      <c r="S100" s="297"/>
      <c r="T100" s="467"/>
    </row>
    <row r="101" spans="1:20" ht="14" customHeight="1" x14ac:dyDescent="0.25">
      <c r="A101" s="332"/>
      <c r="B101" s="461"/>
      <c r="C101" s="686"/>
      <c r="H101" s="686"/>
      <c r="I101" s="686"/>
      <c r="J101" s="686"/>
      <c r="K101" s="686"/>
      <c r="L101" s="702" t="s">
        <v>114</v>
      </c>
      <c r="M101" s="703">
        <f ca="1">IF(VLOOKUP($L101,Data!$C:$H,1,TRUE)=$L101,VLOOKUP($L101,Data!$C:$H,6,TRUE),NA())</f>
        <v>0</v>
      </c>
      <c r="N101" s="466"/>
      <c r="O101" s="467"/>
      <c r="P101" s="297"/>
      <c r="Q101" s="297"/>
      <c r="R101" s="297"/>
      <c r="S101" s="297"/>
      <c r="T101" s="467"/>
    </row>
    <row r="102" spans="1:20" ht="14" customHeight="1" x14ac:dyDescent="0.25">
      <c r="A102" s="332"/>
      <c r="B102" s="461"/>
      <c r="C102" s="686"/>
      <c r="H102" s="686"/>
      <c r="I102" s="686"/>
      <c r="J102" s="686"/>
      <c r="K102" s="686"/>
      <c r="L102" s="702" t="s">
        <v>116</v>
      </c>
      <c r="M102" s="703">
        <f ca="1">IF(VLOOKUP($L102,Data!$C:$H,1,TRUE)=$L102,VLOOKUP($L102,Data!$C:$H,6,TRUE),NA())</f>
        <v>0</v>
      </c>
      <c r="N102" s="466"/>
      <c r="O102" s="467"/>
      <c r="P102" s="297"/>
      <c r="Q102" s="297"/>
      <c r="R102" s="297"/>
      <c r="S102" s="297"/>
      <c r="T102" s="467"/>
    </row>
    <row r="103" spans="1:20" ht="14" customHeight="1" x14ac:dyDescent="0.25">
      <c r="A103" s="332"/>
      <c r="B103" s="461"/>
      <c r="C103" s="686"/>
      <c r="H103" s="686"/>
      <c r="I103" s="686"/>
      <c r="J103" s="686"/>
      <c r="K103" s="686"/>
      <c r="L103" s="702" t="s">
        <v>118</v>
      </c>
      <c r="M103" s="703">
        <f ca="1">IF(VLOOKUP($L103,Data!$C:$H,1,TRUE)=$L103,VLOOKUP($L103,Data!$C:$H,6,TRUE),NA())</f>
        <v>0</v>
      </c>
      <c r="N103" s="466"/>
      <c r="O103" s="467"/>
      <c r="P103" s="297"/>
      <c r="Q103" s="297"/>
      <c r="R103" s="297"/>
      <c r="S103" s="297"/>
      <c r="T103" s="467"/>
    </row>
    <row r="104" spans="1:20" ht="14" customHeight="1" x14ac:dyDescent="0.25">
      <c r="A104" s="332"/>
      <c r="B104" s="461"/>
      <c r="C104" s="686"/>
      <c r="H104" s="686"/>
      <c r="I104" s="686"/>
      <c r="J104" s="686"/>
      <c r="K104" s="686"/>
      <c r="L104" s="702" t="s">
        <v>120</v>
      </c>
      <c r="M104" s="703">
        <f ca="1">IF(VLOOKUP($L104,Data!$C:$H,1,TRUE)=$L104,VLOOKUP($L104,Data!$C:$H,6,TRUE),NA())</f>
        <v>0</v>
      </c>
      <c r="N104" s="466"/>
      <c r="O104" s="467"/>
      <c r="P104" s="297"/>
      <c r="Q104" s="297"/>
      <c r="R104" s="297"/>
      <c r="S104" s="297"/>
      <c r="T104" s="467"/>
    </row>
    <row r="105" spans="1:20" ht="14" customHeight="1" x14ac:dyDescent="0.25">
      <c r="A105" s="332"/>
      <c r="B105" s="461"/>
      <c r="C105" s="686"/>
      <c r="H105" s="686"/>
      <c r="I105" s="686"/>
      <c r="J105" s="686"/>
      <c r="K105" s="686"/>
      <c r="L105" s="702" t="s">
        <v>122</v>
      </c>
      <c r="M105" s="703">
        <f ca="1">IF(VLOOKUP($L105,Data!$C:$H,1,TRUE)=$L105,VLOOKUP($L105,Data!$C:$H,6,TRUE),NA())</f>
        <v>0</v>
      </c>
      <c r="N105" s="466"/>
      <c r="O105" s="467"/>
      <c r="P105" s="297"/>
      <c r="Q105" s="297"/>
      <c r="R105" s="297"/>
      <c r="S105" s="297"/>
      <c r="T105" s="467"/>
    </row>
    <row r="106" spans="1:20" ht="14" customHeight="1" x14ac:dyDescent="0.25">
      <c r="A106" s="332"/>
      <c r="B106" s="461"/>
      <c r="C106" s="686"/>
      <c r="H106" s="686"/>
      <c r="I106" s="686"/>
      <c r="J106" s="686"/>
      <c r="K106" s="686"/>
      <c r="L106" s="702" t="s">
        <v>123</v>
      </c>
      <c r="M106" s="703">
        <f ca="1">IF(VLOOKUP($L106,Data!$C:$H,1,TRUE)=$L106,VLOOKUP($L106,Data!$C:$H,6,TRUE),NA())</f>
        <v>0</v>
      </c>
      <c r="N106" s="466"/>
      <c r="O106" s="467"/>
      <c r="P106" s="297"/>
      <c r="Q106" s="297"/>
      <c r="R106" s="297"/>
      <c r="S106" s="297"/>
      <c r="T106" s="467"/>
    </row>
    <row r="107" spans="1:20" ht="14" customHeight="1" x14ac:dyDescent="0.25">
      <c r="A107" s="332"/>
      <c r="B107" s="461"/>
      <c r="C107" s="686"/>
      <c r="H107" s="686"/>
      <c r="I107" s="686"/>
      <c r="J107" s="686"/>
      <c r="K107" s="686"/>
      <c r="L107" s="702" t="s">
        <v>125</v>
      </c>
      <c r="M107" s="703">
        <f ca="1">IF(VLOOKUP($L107,Data!$C:$H,1,TRUE)=$L107,VLOOKUP($L107,Data!$C:$H,6,TRUE),NA())</f>
        <v>0</v>
      </c>
      <c r="N107" s="466"/>
      <c r="O107" s="467"/>
      <c r="P107" s="297"/>
      <c r="Q107" s="297"/>
      <c r="R107" s="297"/>
      <c r="S107" s="297"/>
      <c r="T107" s="467"/>
    </row>
    <row r="108" spans="1:20" ht="14" customHeight="1" x14ac:dyDescent="0.25">
      <c r="A108" s="332"/>
      <c r="B108" s="461"/>
      <c r="C108" s="686"/>
      <c r="H108" s="686"/>
      <c r="I108" s="686"/>
      <c r="J108" s="686"/>
      <c r="K108" s="686"/>
      <c r="L108" s="702" t="s">
        <v>128</v>
      </c>
      <c r="M108" s="703">
        <f ca="1">IF(VLOOKUP($L108,Data!$C:$H,1,TRUE)=$L108,VLOOKUP($L108,Data!$C:$H,6,TRUE),NA())</f>
        <v>0</v>
      </c>
      <c r="N108" s="466"/>
      <c r="O108" s="467"/>
      <c r="P108" s="297"/>
      <c r="Q108" s="297"/>
      <c r="R108" s="297"/>
      <c r="S108" s="297"/>
      <c r="T108" s="467"/>
    </row>
    <row r="109" spans="1:20" ht="14" customHeight="1" x14ac:dyDescent="0.25">
      <c r="A109" s="332"/>
      <c r="B109" s="461"/>
      <c r="C109" s="686"/>
      <c r="H109" s="686"/>
      <c r="I109" s="686"/>
      <c r="J109" s="686"/>
      <c r="K109" s="686"/>
      <c r="L109" s="702" t="s">
        <v>131</v>
      </c>
      <c r="M109" s="703">
        <f ca="1">IF(VLOOKUP($L109,Data!$C:$H,1,TRUE)=$L109,VLOOKUP($L109,Data!$C:$H,6,TRUE),NA())</f>
        <v>0</v>
      </c>
      <c r="N109" s="466"/>
      <c r="O109" s="467"/>
      <c r="P109" s="297"/>
      <c r="Q109" s="297"/>
      <c r="R109" s="297"/>
      <c r="S109" s="297"/>
      <c r="T109" s="467"/>
    </row>
    <row r="110" spans="1:20" ht="14" customHeight="1" x14ac:dyDescent="0.25">
      <c r="A110" s="332"/>
      <c r="B110" s="461"/>
      <c r="C110" s="686"/>
      <c r="H110" s="686"/>
      <c r="I110" s="686"/>
      <c r="J110" s="686"/>
      <c r="K110" s="686"/>
      <c r="L110" s="702" t="s">
        <v>134</v>
      </c>
      <c r="M110" s="703">
        <f ca="1">IF(VLOOKUP($L110,Data!$C:$H,1,TRUE)=$L110,VLOOKUP($L110,Data!$C:$H,6,TRUE),NA())</f>
        <v>0</v>
      </c>
      <c r="N110" s="466"/>
      <c r="O110" s="467"/>
      <c r="P110" s="297"/>
      <c r="Q110" s="297"/>
      <c r="R110" s="297"/>
      <c r="S110" s="297"/>
      <c r="T110" s="467"/>
    </row>
    <row r="111" spans="1:20" ht="14" customHeight="1" x14ac:dyDescent="0.25">
      <c r="A111" s="332"/>
      <c r="B111" s="461"/>
      <c r="C111" s="686"/>
      <c r="H111" s="686"/>
      <c r="I111" s="686"/>
      <c r="J111" s="686"/>
      <c r="K111" s="686"/>
      <c r="L111" s="702" t="s">
        <v>137</v>
      </c>
      <c r="M111" s="703">
        <f ca="1">IF(VLOOKUP($L111,Data!$C:$H,1,TRUE)=$L111,VLOOKUP($L111,Data!$C:$H,6,TRUE),NA())</f>
        <v>0</v>
      </c>
      <c r="N111" s="466"/>
      <c r="O111" s="467"/>
      <c r="P111" s="297"/>
      <c r="Q111" s="297"/>
      <c r="R111" s="297"/>
      <c r="S111" s="297"/>
      <c r="T111" s="467"/>
    </row>
    <row r="112" spans="1:20" ht="14" customHeight="1" x14ac:dyDescent="0.25">
      <c r="A112" s="332"/>
      <c r="B112" s="461"/>
      <c r="C112" s="686"/>
      <c r="H112" s="686"/>
      <c r="I112" s="686"/>
      <c r="J112" s="686"/>
      <c r="K112" s="686"/>
      <c r="L112" s="702" t="s">
        <v>139</v>
      </c>
      <c r="M112" s="703">
        <f ca="1">IF(VLOOKUP($L112,Data!$C:$H,1,TRUE)=$L112,VLOOKUP($L112,Data!$C:$H,6,TRUE),NA())</f>
        <v>0</v>
      </c>
      <c r="N112" s="466"/>
      <c r="O112" s="467"/>
      <c r="P112" s="297"/>
      <c r="Q112" s="297"/>
      <c r="R112" s="297"/>
      <c r="S112" s="297"/>
      <c r="T112" s="467"/>
    </row>
    <row r="113" spans="1:20" ht="14" customHeight="1" x14ac:dyDescent="0.25">
      <c r="A113" s="332"/>
      <c r="B113" s="461"/>
      <c r="C113" s="686"/>
      <c r="H113" s="686"/>
      <c r="I113" s="686"/>
      <c r="J113" s="686"/>
      <c r="K113" s="686"/>
      <c r="L113" s="702" t="s">
        <v>142</v>
      </c>
      <c r="M113" s="703">
        <f ca="1">IF(VLOOKUP($L113,Data!$C:$H,1,TRUE)=$L113,VLOOKUP($L113,Data!$C:$H,6,TRUE),NA())</f>
        <v>0</v>
      </c>
      <c r="N113" s="466"/>
      <c r="O113" s="467"/>
      <c r="P113" s="297"/>
      <c r="Q113" s="297"/>
      <c r="R113" s="297"/>
      <c r="S113" s="297"/>
      <c r="T113" s="467"/>
    </row>
    <row r="114" spans="1:20" ht="14" customHeight="1" x14ac:dyDescent="0.25">
      <c r="A114" s="332"/>
      <c r="B114" s="461"/>
      <c r="C114" s="686"/>
      <c r="H114" s="686"/>
      <c r="I114" s="686"/>
      <c r="J114" s="686"/>
      <c r="K114" s="686"/>
      <c r="L114" s="702" t="s">
        <v>145</v>
      </c>
      <c r="M114" s="703">
        <f ca="1">IF(VLOOKUP($L114,Data!$C:$H,1,TRUE)=$L114,VLOOKUP($L114,Data!$C:$H,6,TRUE),NA())</f>
        <v>0</v>
      </c>
      <c r="N114" s="466"/>
      <c r="O114" s="467"/>
      <c r="P114" s="297"/>
      <c r="Q114" s="297"/>
      <c r="R114" s="297"/>
      <c r="S114" s="297"/>
      <c r="T114" s="467"/>
    </row>
    <row r="115" spans="1:20" ht="14" customHeight="1" x14ac:dyDescent="0.25">
      <c r="A115" s="332"/>
      <c r="B115" s="461"/>
      <c r="C115" s="686"/>
      <c r="H115" s="686"/>
      <c r="I115" s="686"/>
      <c r="J115" s="686"/>
      <c r="K115" s="686"/>
      <c r="L115" s="702" t="s">
        <v>148</v>
      </c>
      <c r="M115" s="703">
        <f ca="1">IF(VLOOKUP($L115,Data!$C:$H,1,TRUE)=$L115,VLOOKUP($L115,Data!$C:$H,6,TRUE),NA())</f>
        <v>0</v>
      </c>
      <c r="N115" s="466"/>
      <c r="O115" s="467"/>
      <c r="P115" s="297"/>
      <c r="Q115" s="297"/>
      <c r="R115" s="297"/>
      <c r="S115" s="297"/>
      <c r="T115" s="467"/>
    </row>
    <row r="116" spans="1:20" ht="14" customHeight="1" x14ac:dyDescent="0.25">
      <c r="A116" s="332"/>
      <c r="B116" s="461"/>
      <c r="C116" s="686"/>
      <c r="H116" s="686"/>
      <c r="I116" s="686"/>
      <c r="J116" s="686"/>
      <c r="K116" s="686"/>
      <c r="L116" s="702" t="s">
        <v>151</v>
      </c>
      <c r="M116" s="703">
        <f ca="1">IF(VLOOKUP($L116,Data!$C:$H,1,TRUE)=$L116,VLOOKUP($L116,Data!$C:$H,6,TRUE),NA())</f>
        <v>0</v>
      </c>
      <c r="N116" s="466"/>
      <c r="O116" s="467"/>
      <c r="P116" s="297"/>
      <c r="Q116" s="297"/>
      <c r="R116" s="297"/>
      <c r="S116" s="297"/>
      <c r="T116" s="467"/>
    </row>
    <row r="117" spans="1:20" ht="14" customHeight="1" x14ac:dyDescent="0.25">
      <c r="A117" s="332"/>
      <c r="B117" s="461"/>
      <c r="C117" s="686"/>
      <c r="H117" s="686"/>
      <c r="I117" s="686"/>
      <c r="J117" s="686"/>
      <c r="K117" s="686"/>
      <c r="L117" s="702" t="s">
        <v>153</v>
      </c>
      <c r="M117" s="703">
        <f ca="1">IF(VLOOKUP($L117,Data!$C:$H,1,TRUE)=$L117,VLOOKUP($L117,Data!$C:$H,6,TRUE),NA())</f>
        <v>0</v>
      </c>
      <c r="N117" s="466"/>
      <c r="O117" s="467"/>
      <c r="P117" s="297"/>
      <c r="Q117" s="297"/>
      <c r="R117" s="297"/>
      <c r="S117" s="297"/>
      <c r="T117" s="467"/>
    </row>
    <row r="118" spans="1:20" ht="14" customHeight="1" x14ac:dyDescent="0.25">
      <c r="A118" s="332"/>
      <c r="B118" s="461"/>
      <c r="C118" s="686"/>
      <c r="H118" s="686"/>
      <c r="I118" s="686"/>
      <c r="J118" s="686"/>
      <c r="K118" s="686"/>
      <c r="L118" s="702" t="s">
        <v>155</v>
      </c>
      <c r="M118" s="703">
        <f ca="1">IF(VLOOKUP($L118,Data!$C:$H,1,TRUE)=$L118,VLOOKUP($L118,Data!$C:$H,6,TRUE),NA())</f>
        <v>0</v>
      </c>
      <c r="N118" s="466"/>
      <c r="O118" s="467"/>
      <c r="P118" s="297"/>
      <c r="Q118" s="297"/>
      <c r="R118" s="297"/>
      <c r="S118" s="297"/>
      <c r="T118" s="467"/>
    </row>
    <row r="119" spans="1:20" ht="14" customHeight="1" x14ac:dyDescent="0.25">
      <c r="A119" s="332"/>
      <c r="B119" s="461"/>
      <c r="C119" s="686"/>
      <c r="H119" s="686"/>
      <c r="I119" s="686"/>
      <c r="J119" s="686"/>
      <c r="K119" s="686"/>
      <c r="L119" s="702" t="s">
        <v>158</v>
      </c>
      <c r="M119" s="703">
        <f ca="1">IF(VLOOKUP($L119,Data!$C:$H,1,TRUE)=$L119,VLOOKUP($L119,Data!$C:$H,6,TRUE),NA())</f>
        <v>0</v>
      </c>
      <c r="N119" s="466"/>
      <c r="O119" s="467"/>
      <c r="P119" s="297"/>
      <c r="Q119" s="297"/>
      <c r="R119" s="297"/>
      <c r="S119" s="297"/>
      <c r="T119" s="467"/>
    </row>
    <row r="120" spans="1:20" ht="14" customHeight="1" x14ac:dyDescent="0.25">
      <c r="A120" s="332"/>
      <c r="B120" s="461"/>
      <c r="C120" s="686"/>
      <c r="H120" s="686"/>
      <c r="I120" s="686"/>
      <c r="J120" s="686"/>
      <c r="K120" s="686"/>
      <c r="L120" s="702" t="s">
        <v>161</v>
      </c>
      <c r="M120" s="703">
        <f ca="1">IF(VLOOKUP($L120,Data!$C:$H,1,TRUE)=$L120,VLOOKUP($L120,Data!$C:$H,6,TRUE),NA())</f>
        <v>0</v>
      </c>
      <c r="N120" s="466"/>
      <c r="O120" s="467"/>
      <c r="P120" s="297"/>
      <c r="Q120" s="297"/>
      <c r="R120" s="297"/>
      <c r="S120" s="297"/>
      <c r="T120" s="467"/>
    </row>
    <row r="121" spans="1:20" ht="14" customHeight="1" x14ac:dyDescent="0.25">
      <c r="A121" s="332"/>
      <c r="B121" s="461"/>
      <c r="C121" s="686"/>
      <c r="H121" s="686"/>
      <c r="I121" s="686"/>
      <c r="J121" s="686"/>
      <c r="K121" s="686"/>
      <c r="L121" s="702" t="s">
        <v>163</v>
      </c>
      <c r="M121" s="703">
        <f ca="1">IF(VLOOKUP($L121,Data!$C:$H,1,TRUE)=$L121,VLOOKUP($L121,Data!$C:$H,6,TRUE),NA())</f>
        <v>0</v>
      </c>
      <c r="N121" s="466"/>
      <c r="O121" s="467"/>
      <c r="P121" s="297"/>
      <c r="Q121" s="297"/>
      <c r="R121" s="297"/>
      <c r="S121" s="297"/>
      <c r="T121" s="467"/>
    </row>
    <row r="122" spans="1:20" ht="14" customHeight="1" x14ac:dyDescent="0.25">
      <c r="A122" s="332"/>
      <c r="B122" s="461"/>
      <c r="C122" s="686"/>
      <c r="H122" s="686"/>
      <c r="I122" s="686"/>
      <c r="J122" s="686"/>
      <c r="K122" s="686"/>
      <c r="L122" s="702" t="s">
        <v>164</v>
      </c>
      <c r="M122" s="703">
        <f ca="1">IF(VLOOKUP($L122,Data!$C:$H,1,TRUE)=$L122,VLOOKUP($L122,Data!$C:$H,6,TRUE),NA())</f>
        <v>0</v>
      </c>
      <c r="N122" s="466"/>
      <c r="O122" s="467"/>
      <c r="P122" s="297"/>
      <c r="Q122" s="297"/>
      <c r="R122" s="297"/>
      <c r="S122" s="297"/>
      <c r="T122" s="467"/>
    </row>
    <row r="123" spans="1:20" ht="14" customHeight="1" x14ac:dyDescent="0.25">
      <c r="A123" s="332"/>
      <c r="B123" s="461"/>
      <c r="C123" s="686"/>
      <c r="H123" s="686"/>
      <c r="I123" s="686"/>
      <c r="J123" s="686"/>
      <c r="K123" s="686"/>
      <c r="L123" s="702" t="s">
        <v>165</v>
      </c>
      <c r="M123" s="703">
        <f ca="1">IF(VLOOKUP($L123,Data!$C:$H,1,TRUE)=$L123,VLOOKUP($L123,Data!$C:$H,6,TRUE),NA())</f>
        <v>0</v>
      </c>
      <c r="N123" s="466"/>
      <c r="O123" s="467"/>
      <c r="P123" s="297"/>
      <c r="Q123" s="297"/>
      <c r="R123" s="297"/>
      <c r="S123" s="297"/>
      <c r="T123" s="467"/>
    </row>
    <row r="124" spans="1:20" ht="14" customHeight="1" x14ac:dyDescent="0.25">
      <c r="A124" s="332"/>
      <c r="B124" s="461"/>
      <c r="C124" s="686"/>
      <c r="H124" s="686"/>
      <c r="I124" s="686"/>
      <c r="J124" s="686"/>
      <c r="K124" s="686"/>
      <c r="L124" s="702" t="s">
        <v>166</v>
      </c>
      <c r="M124" s="703">
        <f ca="1">IF(VLOOKUP($L124,Data!$C:$H,1,TRUE)=$L124,VLOOKUP($L124,Data!$C:$H,6,TRUE),NA())</f>
        <v>0</v>
      </c>
      <c r="N124" s="466"/>
      <c r="O124" s="467"/>
      <c r="P124" s="297"/>
      <c r="Q124" s="297"/>
      <c r="R124" s="297"/>
      <c r="S124" s="297"/>
      <c r="T124" s="467"/>
    </row>
    <row r="125" spans="1:20" ht="14" customHeight="1" x14ac:dyDescent="0.25">
      <c r="A125" s="332"/>
      <c r="B125" s="461"/>
      <c r="C125" s="686"/>
      <c r="H125" s="686"/>
      <c r="I125" s="686"/>
      <c r="J125" s="686"/>
      <c r="K125" s="686"/>
      <c r="L125" s="702" t="s">
        <v>167</v>
      </c>
      <c r="M125" s="703">
        <f ca="1">IF(VLOOKUP($L125,Data!$C:$H,1,TRUE)=$L125,VLOOKUP($L125,Data!$C:$H,6,TRUE),NA())</f>
        <v>0</v>
      </c>
      <c r="N125" s="466"/>
      <c r="O125" s="467"/>
      <c r="P125" s="297"/>
      <c r="Q125" s="297"/>
      <c r="R125" s="297"/>
      <c r="S125" s="297"/>
      <c r="T125" s="467"/>
    </row>
    <row r="126" spans="1:20" ht="14" customHeight="1" x14ac:dyDescent="0.25">
      <c r="A126" s="332"/>
      <c r="B126" s="461"/>
      <c r="C126" s="686"/>
      <c r="H126" s="686"/>
      <c r="I126" s="686"/>
      <c r="J126" s="686"/>
      <c r="K126" s="686"/>
      <c r="L126" s="702" t="s">
        <v>168</v>
      </c>
      <c r="M126" s="703">
        <f ca="1">IF(VLOOKUP($L126,Data!$C:$H,1,TRUE)=$L126,VLOOKUP($L126,Data!$C:$H,6,TRUE),NA())</f>
        <v>0</v>
      </c>
      <c r="N126" s="466"/>
      <c r="O126" s="467"/>
      <c r="P126" s="297"/>
      <c r="Q126" s="297"/>
      <c r="R126" s="297"/>
      <c r="S126" s="297"/>
      <c r="T126" s="467"/>
    </row>
    <row r="127" spans="1:20" ht="14" customHeight="1" x14ac:dyDescent="0.25">
      <c r="A127" s="332"/>
      <c r="B127" s="461"/>
      <c r="C127" s="686"/>
      <c r="H127" s="686"/>
      <c r="I127" s="686"/>
      <c r="J127" s="686"/>
      <c r="K127" s="686"/>
      <c r="L127" s="702" t="s">
        <v>169</v>
      </c>
      <c r="M127" s="703">
        <f ca="1">IF(VLOOKUP($L127,Data!$C:$H,1,TRUE)=$L127,VLOOKUP($L127,Data!$C:$H,6,TRUE),NA())</f>
        <v>0</v>
      </c>
      <c r="N127" s="466"/>
      <c r="O127" s="467"/>
      <c r="P127" s="297"/>
      <c r="Q127" s="297"/>
      <c r="R127" s="297"/>
      <c r="S127" s="297"/>
      <c r="T127" s="467"/>
    </row>
    <row r="128" spans="1:20" ht="14" customHeight="1" x14ac:dyDescent="0.25">
      <c r="A128" s="332"/>
      <c r="B128" s="461"/>
      <c r="C128" s="686"/>
      <c r="H128" s="686"/>
      <c r="I128" s="686"/>
      <c r="J128" s="686"/>
      <c r="K128" s="686"/>
      <c r="L128" s="702" t="s">
        <v>170</v>
      </c>
      <c r="M128" s="703">
        <f ca="1">IF(VLOOKUP($L128,Data!$C:$H,1,TRUE)=$L128,VLOOKUP($L128,Data!$C:$H,6,TRUE),NA())</f>
        <v>0</v>
      </c>
      <c r="N128" s="466"/>
      <c r="O128" s="467"/>
      <c r="P128" s="297"/>
      <c r="Q128" s="297"/>
      <c r="R128" s="297"/>
      <c r="S128" s="297"/>
      <c r="T128" s="467"/>
    </row>
    <row r="129" spans="1:20" ht="14" customHeight="1" x14ac:dyDescent="0.25">
      <c r="A129" s="332"/>
      <c r="B129" s="461"/>
      <c r="C129" s="686"/>
      <c r="H129" s="686"/>
      <c r="I129" s="686"/>
      <c r="J129" s="686"/>
      <c r="K129" s="686"/>
      <c r="L129" s="702" t="s">
        <v>171</v>
      </c>
      <c r="M129" s="703">
        <f ca="1">IF(VLOOKUP($L129,Data!$C:$H,1,TRUE)=$L129,VLOOKUP($L129,Data!$C:$H,6,TRUE),NA())</f>
        <v>0</v>
      </c>
      <c r="N129" s="466"/>
      <c r="O129" s="467"/>
      <c r="P129" s="297"/>
      <c r="Q129" s="297"/>
      <c r="R129" s="297"/>
      <c r="S129" s="297"/>
      <c r="T129" s="467"/>
    </row>
    <row r="130" spans="1:20" ht="14" customHeight="1" x14ac:dyDescent="0.25">
      <c r="A130" s="332"/>
      <c r="B130" s="461"/>
      <c r="C130" s="686"/>
      <c r="H130" s="686"/>
      <c r="I130" s="686"/>
      <c r="J130" s="686"/>
      <c r="K130" s="686"/>
      <c r="L130" s="702" t="s">
        <v>172</v>
      </c>
      <c r="M130" s="703">
        <f ca="1">IF(VLOOKUP($L130,Data!$C:$H,1,TRUE)=$L130,VLOOKUP($L130,Data!$C:$H,6,TRUE),NA())</f>
        <v>0</v>
      </c>
      <c r="N130" s="466"/>
      <c r="O130" s="467"/>
      <c r="P130" s="297"/>
      <c r="Q130" s="297"/>
      <c r="R130" s="297"/>
      <c r="S130" s="297"/>
      <c r="T130" s="467"/>
    </row>
    <row r="131" spans="1:20" ht="14" customHeight="1" x14ac:dyDescent="0.25">
      <c r="A131" s="332"/>
      <c r="B131" s="461"/>
      <c r="C131" s="686"/>
      <c r="H131" s="686"/>
      <c r="I131" s="686"/>
      <c r="J131" s="686"/>
      <c r="K131" s="686"/>
      <c r="L131" s="702" t="s">
        <v>173</v>
      </c>
      <c r="M131" s="703">
        <f ca="1">IF(VLOOKUP($L131,Data!$C:$H,1,TRUE)=$L131,VLOOKUP($L131,Data!$C:$H,6,TRUE),NA())</f>
        <v>0</v>
      </c>
      <c r="N131" s="466"/>
      <c r="O131" s="467"/>
      <c r="P131" s="297"/>
      <c r="Q131" s="297"/>
      <c r="R131" s="297"/>
      <c r="S131" s="297"/>
      <c r="T131" s="467"/>
    </row>
    <row r="132" spans="1:20" ht="14" customHeight="1" x14ac:dyDescent="0.25">
      <c r="A132" s="332"/>
      <c r="B132" s="461"/>
      <c r="C132" s="686"/>
      <c r="H132" s="686"/>
      <c r="I132" s="686"/>
      <c r="J132" s="686"/>
      <c r="K132" s="686"/>
      <c r="L132" s="702" t="s">
        <v>174</v>
      </c>
      <c r="M132" s="703">
        <f ca="1">IF(VLOOKUP($L132,Data!$C:$H,1,TRUE)=$L132,VLOOKUP($L132,Data!$C:$H,6,TRUE),NA())</f>
        <v>0</v>
      </c>
      <c r="N132" s="466"/>
      <c r="O132" s="467"/>
      <c r="P132" s="297"/>
      <c r="Q132" s="297"/>
      <c r="R132" s="297"/>
      <c r="S132" s="297"/>
      <c r="T132" s="467"/>
    </row>
    <row r="133" spans="1:20" ht="14" customHeight="1" x14ac:dyDescent="0.25">
      <c r="A133" s="332"/>
      <c r="B133" s="461"/>
      <c r="C133" s="686"/>
      <c r="H133" s="686"/>
      <c r="I133" s="686"/>
      <c r="J133" s="686"/>
      <c r="K133" s="686"/>
      <c r="L133" s="702" t="s">
        <v>175</v>
      </c>
      <c r="M133" s="703">
        <f ca="1">IF(VLOOKUP($L133,Data!$C:$H,1,TRUE)=$L133,VLOOKUP($L133,Data!$C:$H,6,TRUE),NA())</f>
        <v>0</v>
      </c>
      <c r="N133" s="466"/>
      <c r="O133" s="467"/>
      <c r="P133" s="297"/>
      <c r="Q133" s="297"/>
      <c r="R133" s="297"/>
      <c r="S133" s="297"/>
      <c r="T133" s="467"/>
    </row>
    <row r="134" spans="1:20" ht="14" customHeight="1" x14ac:dyDescent="0.25">
      <c r="A134" s="332"/>
      <c r="B134" s="461"/>
      <c r="C134" s="686"/>
      <c r="H134" s="686"/>
      <c r="I134" s="686"/>
      <c r="J134" s="686"/>
      <c r="K134" s="686"/>
      <c r="L134" s="702" t="s">
        <v>177</v>
      </c>
      <c r="M134" s="703">
        <f ca="1">IF(VLOOKUP($L134,Data!$C:$H,1,TRUE)=$L134,VLOOKUP($L134,Data!$C:$H,6,TRUE),NA())</f>
        <v>0</v>
      </c>
      <c r="N134" s="466"/>
      <c r="O134" s="467"/>
      <c r="P134" s="297"/>
      <c r="Q134" s="297"/>
      <c r="R134" s="297"/>
      <c r="S134" s="297"/>
      <c r="T134" s="467"/>
    </row>
    <row r="135" spans="1:20" ht="14" customHeight="1" x14ac:dyDescent="0.25">
      <c r="A135" s="332"/>
      <c r="B135" s="461"/>
      <c r="C135" s="686"/>
      <c r="H135" s="686"/>
      <c r="I135" s="686"/>
      <c r="J135" s="686"/>
      <c r="K135" s="686"/>
      <c r="L135" s="702" t="s">
        <v>179</v>
      </c>
      <c r="M135" s="703">
        <f ca="1">IF(VLOOKUP($L135,Data!$C:$H,1,TRUE)=$L135,VLOOKUP($L135,Data!$C:$H,6,TRUE),NA())</f>
        <v>0</v>
      </c>
      <c r="N135" s="466"/>
      <c r="O135" s="467"/>
      <c r="P135" s="297"/>
      <c r="Q135" s="297"/>
      <c r="R135" s="297"/>
      <c r="S135" s="297"/>
      <c r="T135" s="467"/>
    </row>
    <row r="136" spans="1:20" ht="14" customHeight="1" x14ac:dyDescent="0.25">
      <c r="A136" s="332"/>
      <c r="B136" s="461"/>
      <c r="C136" s="686"/>
      <c r="H136" s="686"/>
      <c r="I136" s="686"/>
      <c r="J136" s="686"/>
      <c r="K136" s="686"/>
      <c r="L136" s="702" t="s">
        <v>180</v>
      </c>
      <c r="M136" s="703">
        <f ca="1">IF(VLOOKUP($L136,Data!$C:$H,1,TRUE)=$L136,VLOOKUP($L136,Data!$C:$H,6,TRUE),NA())</f>
        <v>0</v>
      </c>
      <c r="N136" s="466"/>
      <c r="O136" s="467"/>
      <c r="P136" s="297"/>
      <c r="Q136" s="297"/>
      <c r="R136" s="297"/>
      <c r="S136" s="297"/>
      <c r="T136" s="467"/>
    </row>
    <row r="137" spans="1:20" ht="14" customHeight="1" x14ac:dyDescent="0.25">
      <c r="A137" s="332"/>
      <c r="B137" s="461"/>
      <c r="C137" s="686"/>
      <c r="H137" s="686"/>
      <c r="I137" s="686"/>
      <c r="J137" s="686"/>
      <c r="K137" s="686"/>
      <c r="L137" s="702" t="s">
        <v>181</v>
      </c>
      <c r="M137" s="703">
        <f ca="1">IF(VLOOKUP($L137,Data!$C:$H,1,TRUE)=$L137,VLOOKUP($L137,Data!$C:$H,6,TRUE),NA())</f>
        <v>0</v>
      </c>
      <c r="N137" s="466"/>
      <c r="O137" s="467"/>
      <c r="P137" s="297"/>
      <c r="Q137" s="297"/>
      <c r="R137" s="297"/>
      <c r="S137" s="297"/>
      <c r="T137" s="467"/>
    </row>
    <row r="138" spans="1:20" ht="14" customHeight="1" x14ac:dyDescent="0.25">
      <c r="A138" s="332"/>
      <c r="B138" s="461"/>
      <c r="C138" s="686"/>
      <c r="H138" s="686"/>
      <c r="I138" s="686"/>
      <c r="J138" s="686"/>
      <c r="K138" s="686"/>
      <c r="L138" s="702" t="s">
        <v>182</v>
      </c>
      <c r="M138" s="703">
        <f ca="1">IF(VLOOKUP($L138,Data!$C:$H,1,TRUE)=$L138,VLOOKUP($L138,Data!$C:$H,6,TRUE),NA())</f>
        <v>0</v>
      </c>
      <c r="N138" s="466"/>
      <c r="O138" s="467"/>
      <c r="P138" s="297"/>
      <c r="Q138" s="297"/>
      <c r="R138" s="297"/>
      <c r="S138" s="297"/>
      <c r="T138" s="467"/>
    </row>
    <row r="139" spans="1:20" ht="14" customHeight="1" x14ac:dyDescent="0.25">
      <c r="A139" s="332"/>
      <c r="B139" s="461"/>
      <c r="C139" s="686"/>
      <c r="H139" s="686"/>
      <c r="I139" s="686"/>
      <c r="J139" s="686"/>
      <c r="K139" s="686"/>
      <c r="L139" s="702" t="s">
        <v>183</v>
      </c>
      <c r="M139" s="703">
        <f ca="1">IF(VLOOKUP($L139,Data!$C:$H,1,TRUE)=$L139,VLOOKUP($L139,Data!$C:$H,6,TRUE),NA())</f>
        <v>0</v>
      </c>
      <c r="N139" s="466"/>
      <c r="O139" s="467"/>
      <c r="P139" s="297"/>
      <c r="Q139" s="297"/>
      <c r="R139" s="297"/>
      <c r="S139" s="297"/>
      <c r="T139" s="467"/>
    </row>
    <row r="140" spans="1:20" ht="14" customHeight="1" x14ac:dyDescent="0.25">
      <c r="A140" s="332"/>
      <c r="B140" s="461"/>
      <c r="C140" s="686"/>
      <c r="H140" s="686"/>
      <c r="I140" s="686"/>
      <c r="J140" s="686"/>
      <c r="K140" s="686"/>
      <c r="L140" s="702" t="s">
        <v>184</v>
      </c>
      <c r="M140" s="703">
        <f ca="1">IF(VLOOKUP($L140,Data!$C:$H,1,TRUE)=$L140,VLOOKUP($L140,Data!$C:$H,6,TRUE),NA())</f>
        <v>0</v>
      </c>
      <c r="N140" s="466"/>
      <c r="O140" s="467"/>
      <c r="P140" s="297"/>
      <c r="Q140" s="297"/>
      <c r="R140" s="297"/>
      <c r="S140" s="297"/>
      <c r="T140" s="467"/>
    </row>
    <row r="141" spans="1:20" ht="14" customHeight="1" x14ac:dyDescent="0.25">
      <c r="A141" s="332"/>
      <c r="B141" s="461"/>
      <c r="C141" s="686"/>
      <c r="H141" s="686"/>
      <c r="I141" s="686"/>
      <c r="J141" s="686"/>
      <c r="K141" s="686"/>
      <c r="L141" s="702" t="s">
        <v>185</v>
      </c>
      <c r="M141" s="703">
        <f ca="1">IF(VLOOKUP($L141,Data!$C:$H,1,TRUE)=$L141,VLOOKUP($L141,Data!$C:$H,6,TRUE),NA())</f>
        <v>0</v>
      </c>
      <c r="N141" s="466"/>
      <c r="O141" s="467"/>
      <c r="P141" s="297"/>
      <c r="Q141" s="297"/>
      <c r="R141" s="297"/>
      <c r="S141" s="297"/>
      <c r="T141" s="467"/>
    </row>
    <row r="142" spans="1:20" ht="14" customHeight="1" x14ac:dyDescent="0.25">
      <c r="A142" s="332"/>
      <c r="B142" s="461"/>
      <c r="C142" s="686"/>
      <c r="H142" s="686"/>
      <c r="I142" s="686"/>
      <c r="J142" s="686"/>
      <c r="K142" s="686"/>
      <c r="L142" s="702" t="s">
        <v>186</v>
      </c>
      <c r="M142" s="703">
        <f ca="1">IF(VLOOKUP($L142,Data!$C:$H,1,TRUE)=$L142,VLOOKUP($L142,Data!$C:$H,6,TRUE),NA())</f>
        <v>0</v>
      </c>
      <c r="N142" s="466"/>
      <c r="O142" s="467"/>
      <c r="P142" s="297"/>
      <c r="Q142" s="297"/>
      <c r="R142" s="297"/>
      <c r="S142" s="297"/>
      <c r="T142" s="467"/>
    </row>
    <row r="143" spans="1:20" ht="14" customHeight="1" x14ac:dyDescent="0.25">
      <c r="A143" s="332"/>
      <c r="B143" s="461"/>
      <c r="C143" s="686"/>
      <c r="H143" s="686"/>
      <c r="I143" s="686"/>
      <c r="J143" s="686"/>
      <c r="K143" s="686"/>
      <c r="L143" s="702" t="s">
        <v>187</v>
      </c>
      <c r="M143" s="703">
        <f ca="1">IF(VLOOKUP($L143,Data!$C:$H,1,TRUE)=$L143,VLOOKUP($L143,Data!$C:$H,6,TRUE),NA())</f>
        <v>0</v>
      </c>
      <c r="N143" s="466"/>
      <c r="O143" s="467"/>
      <c r="P143" s="297"/>
      <c r="Q143" s="297"/>
      <c r="R143" s="297"/>
      <c r="S143" s="297"/>
      <c r="T143" s="467"/>
    </row>
    <row r="144" spans="1:20" ht="14" customHeight="1" x14ac:dyDescent="0.25">
      <c r="A144" s="332"/>
      <c r="B144" s="461"/>
      <c r="C144" s="686"/>
      <c r="H144" s="686"/>
      <c r="I144" s="686"/>
      <c r="J144" s="686"/>
      <c r="K144" s="686"/>
      <c r="L144" s="702" t="s">
        <v>188</v>
      </c>
      <c r="M144" s="703">
        <f ca="1">IF(VLOOKUP($L144,Data!$C:$H,1,TRUE)=$L144,VLOOKUP($L144,Data!$C:$H,6,TRUE),NA())</f>
        <v>0</v>
      </c>
      <c r="N144" s="466"/>
      <c r="O144" s="467"/>
      <c r="P144" s="297"/>
      <c r="Q144" s="297"/>
      <c r="R144" s="297"/>
      <c r="S144" s="297"/>
      <c r="T144" s="467"/>
    </row>
    <row r="145" spans="1:20" ht="14" customHeight="1" x14ac:dyDescent="0.25">
      <c r="A145" s="332"/>
      <c r="B145" s="461"/>
      <c r="C145" s="686"/>
      <c r="H145" s="686"/>
      <c r="I145" s="686"/>
      <c r="J145" s="686"/>
      <c r="K145" s="686"/>
      <c r="L145" s="702" t="s">
        <v>189</v>
      </c>
      <c r="M145" s="703">
        <f ca="1">IF(VLOOKUP($L145,Data!$C:$H,1,TRUE)=$L145,VLOOKUP($L145,Data!$C:$H,6,TRUE),NA())</f>
        <v>0</v>
      </c>
      <c r="N145" s="466"/>
      <c r="O145" s="467"/>
      <c r="P145" s="297"/>
      <c r="Q145" s="297"/>
      <c r="R145" s="297"/>
      <c r="S145" s="297"/>
      <c r="T145" s="467"/>
    </row>
    <row r="146" spans="1:20" ht="14" customHeight="1" x14ac:dyDescent="0.25">
      <c r="A146" s="332"/>
      <c r="B146" s="461"/>
      <c r="C146" s="686"/>
      <c r="H146" s="686"/>
      <c r="I146" s="686"/>
      <c r="J146" s="686"/>
      <c r="K146" s="686"/>
      <c r="L146" s="702" t="s">
        <v>190</v>
      </c>
      <c r="M146" s="703">
        <f ca="1">IF(VLOOKUP($L146,Data!$C:$H,1,TRUE)=$L146,VLOOKUP($L146,Data!$C:$H,6,TRUE),NA())</f>
        <v>0</v>
      </c>
      <c r="N146" s="466"/>
      <c r="O146" s="467"/>
      <c r="P146" s="297"/>
      <c r="Q146" s="297"/>
      <c r="R146" s="297"/>
      <c r="S146" s="297"/>
      <c r="T146" s="467"/>
    </row>
    <row r="147" spans="1:20" ht="14" customHeight="1" x14ac:dyDescent="0.25">
      <c r="A147" s="332"/>
      <c r="B147" s="461"/>
      <c r="C147" s="686"/>
      <c r="H147" s="686"/>
      <c r="I147" s="686"/>
      <c r="J147" s="686"/>
      <c r="K147" s="686"/>
      <c r="L147" s="702" t="s">
        <v>191</v>
      </c>
      <c r="M147" s="703">
        <f ca="1">IF(VLOOKUP($L147,Data!$C:$H,1,TRUE)=$L147,VLOOKUP($L147,Data!$C:$H,6,TRUE),NA())</f>
        <v>0</v>
      </c>
      <c r="N147" s="466"/>
      <c r="O147" s="467"/>
      <c r="P147" s="297"/>
      <c r="Q147" s="297"/>
      <c r="R147" s="297"/>
      <c r="S147" s="297"/>
      <c r="T147" s="467"/>
    </row>
    <row r="148" spans="1:20" ht="14" customHeight="1" x14ac:dyDescent="0.25">
      <c r="A148" s="332"/>
      <c r="B148" s="461"/>
      <c r="C148" s="686"/>
      <c r="H148" s="686"/>
      <c r="I148" s="686"/>
      <c r="J148" s="686"/>
      <c r="K148" s="686"/>
      <c r="L148" s="702" t="s">
        <v>192</v>
      </c>
      <c r="M148" s="703">
        <f ca="1">IF(VLOOKUP($L148,Data!$C:$H,1,TRUE)=$L148,VLOOKUP($L148,Data!$C:$H,6,TRUE),NA())</f>
        <v>0</v>
      </c>
      <c r="N148" s="466"/>
      <c r="O148" s="467"/>
      <c r="P148" s="297"/>
      <c r="Q148" s="297"/>
      <c r="R148" s="297"/>
      <c r="S148" s="297"/>
      <c r="T148" s="467"/>
    </row>
    <row r="149" spans="1:20" ht="14" customHeight="1" x14ac:dyDescent="0.25">
      <c r="A149" s="332"/>
      <c r="B149" s="461"/>
      <c r="C149" s="686"/>
      <c r="H149" s="686"/>
      <c r="I149" s="686"/>
      <c r="J149" s="686"/>
      <c r="K149" s="686"/>
      <c r="L149" s="702" t="s">
        <v>193</v>
      </c>
      <c r="M149" s="703">
        <f ca="1">IF(VLOOKUP($L149,Data!$C:$H,1,TRUE)=$L149,VLOOKUP($L149,Data!$C:$H,6,TRUE),NA())</f>
        <v>0</v>
      </c>
      <c r="N149" s="466"/>
      <c r="O149" s="467"/>
      <c r="P149" s="297"/>
      <c r="Q149" s="297"/>
      <c r="R149" s="297"/>
      <c r="S149" s="297"/>
      <c r="T149" s="467"/>
    </row>
    <row r="150" spans="1:20" ht="14" customHeight="1" x14ac:dyDescent="0.25">
      <c r="A150" s="332"/>
      <c r="B150" s="461"/>
      <c r="C150" s="686"/>
      <c r="H150" s="686"/>
      <c r="I150" s="686"/>
      <c r="J150" s="686"/>
      <c r="K150" s="686"/>
      <c r="L150" s="702" t="s">
        <v>194</v>
      </c>
      <c r="M150" s="703">
        <f ca="1">IF(VLOOKUP($L150,Data!$C:$H,1,TRUE)=$L150,VLOOKUP($L150,Data!$C:$H,6,TRUE),NA())</f>
        <v>0</v>
      </c>
      <c r="N150" s="466"/>
      <c r="O150" s="467"/>
      <c r="P150" s="297"/>
      <c r="Q150" s="297"/>
      <c r="R150" s="297"/>
      <c r="S150" s="297"/>
      <c r="T150" s="467"/>
    </row>
    <row r="151" spans="1:20" ht="14" customHeight="1" x14ac:dyDescent="0.25">
      <c r="A151" s="332"/>
      <c r="B151" s="461"/>
      <c r="C151" s="686"/>
      <c r="H151" s="686"/>
      <c r="I151" s="686"/>
      <c r="J151" s="686"/>
      <c r="K151" s="686"/>
      <c r="L151" s="702" t="s">
        <v>195</v>
      </c>
      <c r="M151" s="703">
        <f ca="1">IF(VLOOKUP($L151,Data!$C:$H,1,TRUE)=$L151,VLOOKUP($L151,Data!$C:$H,6,TRUE),NA())</f>
        <v>0</v>
      </c>
      <c r="N151" s="466"/>
      <c r="O151" s="467"/>
      <c r="P151" s="297"/>
      <c r="Q151" s="297"/>
      <c r="R151" s="297"/>
      <c r="S151" s="297"/>
      <c r="T151" s="467"/>
    </row>
    <row r="152" spans="1:20" ht="14" customHeight="1" x14ac:dyDescent="0.25">
      <c r="A152" s="332"/>
      <c r="B152" s="461"/>
      <c r="C152" s="686"/>
      <c r="H152" s="686"/>
      <c r="I152" s="686"/>
      <c r="J152" s="686"/>
      <c r="K152" s="686"/>
      <c r="L152" s="702" t="s">
        <v>196</v>
      </c>
      <c r="M152" s="703">
        <f ca="1">IF(VLOOKUP($L152,Data!$C:$H,1,TRUE)=$L152,VLOOKUP($L152,Data!$C:$H,6,TRUE),NA())</f>
        <v>0</v>
      </c>
      <c r="N152" s="466"/>
      <c r="O152" s="467"/>
      <c r="P152" s="297"/>
      <c r="Q152" s="297"/>
      <c r="R152" s="297"/>
      <c r="S152" s="297"/>
      <c r="T152" s="467"/>
    </row>
    <row r="153" spans="1:20" ht="14" customHeight="1" x14ac:dyDescent="0.25">
      <c r="A153" s="332"/>
      <c r="B153" s="461"/>
      <c r="C153" s="686"/>
      <c r="H153" s="686"/>
      <c r="I153" s="686"/>
      <c r="J153" s="686"/>
      <c r="K153" s="686"/>
      <c r="L153" s="702" t="s">
        <v>198</v>
      </c>
      <c r="M153" s="703">
        <f ca="1">IF(VLOOKUP($L153,Data!$C:$H,1,TRUE)=$L153,VLOOKUP($L153,Data!$C:$H,6,TRUE),NA())</f>
        <v>0</v>
      </c>
      <c r="N153" s="466"/>
      <c r="O153" s="467"/>
      <c r="P153" s="297"/>
      <c r="Q153" s="297"/>
      <c r="R153" s="297"/>
      <c r="S153" s="297"/>
      <c r="T153" s="467"/>
    </row>
    <row r="154" spans="1:20" ht="14" customHeight="1" x14ac:dyDescent="0.25">
      <c r="A154" s="332"/>
      <c r="B154" s="461"/>
      <c r="C154" s="686"/>
      <c r="H154" s="686"/>
      <c r="I154" s="686"/>
      <c r="J154" s="686"/>
      <c r="K154" s="686"/>
      <c r="L154" s="702" t="s">
        <v>200</v>
      </c>
      <c r="M154" s="703">
        <f ca="1">IF(VLOOKUP($L154,Data!$C:$H,1,TRUE)=$L154,VLOOKUP($L154,Data!$C:$H,6,TRUE),NA())</f>
        <v>0</v>
      </c>
      <c r="N154" s="466"/>
      <c r="O154" s="467"/>
      <c r="P154" s="297"/>
      <c r="Q154" s="297"/>
      <c r="R154" s="297"/>
      <c r="S154" s="297"/>
      <c r="T154" s="467"/>
    </row>
    <row r="155" spans="1:20" ht="14" customHeight="1" x14ac:dyDescent="0.25">
      <c r="A155" s="332"/>
      <c r="B155" s="461"/>
      <c r="C155" s="686"/>
      <c r="H155" s="686"/>
      <c r="I155" s="686"/>
      <c r="J155" s="686"/>
      <c r="K155" s="686"/>
      <c r="L155" s="702" t="s">
        <v>201</v>
      </c>
      <c r="M155" s="703">
        <f ca="1">IF(VLOOKUP($L155,Data!$C:$H,1,TRUE)=$L155,VLOOKUP($L155,Data!$C:$H,6,TRUE),NA())</f>
        <v>0</v>
      </c>
      <c r="N155" s="466"/>
      <c r="O155" s="467"/>
      <c r="P155" s="297"/>
      <c r="Q155" s="297"/>
      <c r="R155" s="297"/>
      <c r="S155" s="297"/>
      <c r="T155" s="467"/>
    </row>
    <row r="156" spans="1:20" ht="14" customHeight="1" x14ac:dyDescent="0.25">
      <c r="A156" s="332"/>
      <c r="B156" s="461"/>
      <c r="C156" s="686"/>
      <c r="H156" s="686"/>
      <c r="I156" s="686"/>
      <c r="J156" s="686"/>
      <c r="K156" s="686"/>
      <c r="L156" s="702" t="s">
        <v>202</v>
      </c>
      <c r="M156" s="703">
        <f ca="1">IF(VLOOKUP($L156,Data!$C:$H,1,TRUE)=$L156,VLOOKUP($L156,Data!$C:$H,6,TRUE),NA())</f>
        <v>0</v>
      </c>
      <c r="N156" s="466"/>
      <c r="O156" s="467"/>
      <c r="P156" s="297"/>
      <c r="Q156" s="297"/>
      <c r="R156" s="297"/>
      <c r="S156" s="297"/>
      <c r="T156" s="467"/>
    </row>
    <row r="157" spans="1:20" ht="14" customHeight="1" x14ac:dyDescent="0.25">
      <c r="A157" s="332"/>
      <c r="B157" s="461"/>
      <c r="C157" s="686"/>
      <c r="H157" s="686"/>
      <c r="I157" s="686"/>
      <c r="J157" s="686"/>
      <c r="K157" s="686"/>
      <c r="L157" s="702" t="s">
        <v>203</v>
      </c>
      <c r="M157" s="703">
        <f ca="1">IF(VLOOKUP($L157,Data!$C:$H,1,TRUE)=$L157,VLOOKUP($L157,Data!$C:$H,6,TRUE),NA())</f>
        <v>0</v>
      </c>
      <c r="N157" s="466"/>
      <c r="O157" s="467"/>
      <c r="P157" s="297"/>
      <c r="Q157" s="297"/>
      <c r="R157" s="297"/>
      <c r="S157" s="297"/>
      <c r="T157" s="467"/>
    </row>
    <row r="158" spans="1:20" ht="14" customHeight="1" x14ac:dyDescent="0.25">
      <c r="A158" s="332"/>
      <c r="B158" s="461"/>
      <c r="C158" s="686"/>
      <c r="H158" s="686"/>
      <c r="I158" s="686"/>
      <c r="J158" s="686"/>
      <c r="K158" s="686"/>
      <c r="L158" s="702" t="s">
        <v>204</v>
      </c>
      <c r="M158" s="703">
        <f ca="1">IF(VLOOKUP($L158,Data!$C:$H,1,TRUE)=$L158,VLOOKUP($L158,Data!$C:$H,6,TRUE),NA())</f>
        <v>0</v>
      </c>
      <c r="N158" s="466"/>
      <c r="O158" s="467"/>
      <c r="P158" s="297"/>
      <c r="Q158" s="297"/>
      <c r="R158" s="297"/>
      <c r="S158" s="297"/>
      <c r="T158" s="467"/>
    </row>
    <row r="159" spans="1:20" ht="14" customHeight="1" x14ac:dyDescent="0.25">
      <c r="A159" s="332"/>
      <c r="B159" s="461"/>
      <c r="C159" s="686"/>
      <c r="H159" s="686"/>
      <c r="I159" s="686"/>
      <c r="J159" s="686"/>
      <c r="K159" s="686"/>
      <c r="L159" s="702" t="s">
        <v>205</v>
      </c>
      <c r="M159" s="703">
        <f ca="1">IF(VLOOKUP($L159,Data!$C:$H,1,TRUE)=$L159,VLOOKUP($L159,Data!$C:$H,6,TRUE),NA())</f>
        <v>0</v>
      </c>
      <c r="N159" s="466"/>
      <c r="O159" s="467"/>
      <c r="P159" s="297"/>
      <c r="Q159" s="297"/>
      <c r="R159" s="297"/>
      <c r="S159" s="297"/>
      <c r="T159" s="467"/>
    </row>
    <row r="160" spans="1:20" ht="14" customHeight="1" x14ac:dyDescent="0.25">
      <c r="A160" s="332"/>
      <c r="B160" s="461"/>
      <c r="C160" s="686"/>
      <c r="H160" s="686"/>
      <c r="I160" s="686"/>
      <c r="J160" s="686"/>
      <c r="K160" s="686"/>
      <c r="L160" s="702" t="s">
        <v>206</v>
      </c>
      <c r="M160" s="703">
        <f ca="1">IF(VLOOKUP($L160,Data!$C:$H,1,TRUE)=$L160,VLOOKUP($L160,Data!$C:$H,6,TRUE),NA())</f>
        <v>0</v>
      </c>
      <c r="N160" s="466"/>
      <c r="O160" s="467"/>
      <c r="P160" s="297"/>
      <c r="Q160" s="297"/>
      <c r="R160" s="297"/>
      <c r="S160" s="297"/>
      <c r="T160" s="467"/>
    </row>
    <row r="161" spans="1:20" ht="14" customHeight="1" x14ac:dyDescent="0.25">
      <c r="A161" s="332"/>
      <c r="B161" s="461"/>
      <c r="C161" s="686"/>
      <c r="H161" s="686"/>
      <c r="I161" s="686"/>
      <c r="J161" s="686"/>
      <c r="K161" s="686"/>
      <c r="L161" s="702" t="s">
        <v>207</v>
      </c>
      <c r="M161" s="703">
        <f ca="1">IF(VLOOKUP($L161,Data!$C:$H,1,TRUE)=$L161,VLOOKUP($L161,Data!$C:$H,6,TRUE),NA())</f>
        <v>0</v>
      </c>
      <c r="N161" s="466"/>
      <c r="O161" s="467"/>
      <c r="P161" s="297"/>
      <c r="Q161" s="297"/>
      <c r="R161" s="297"/>
      <c r="S161" s="297"/>
      <c r="T161" s="467"/>
    </row>
    <row r="162" spans="1:20" ht="14" customHeight="1" x14ac:dyDescent="0.25">
      <c r="A162" s="332"/>
      <c r="B162" s="461"/>
      <c r="C162" s="686"/>
      <c r="H162" s="686"/>
      <c r="I162" s="686"/>
      <c r="J162" s="686"/>
      <c r="K162" s="686"/>
      <c r="L162" s="702" t="s">
        <v>208</v>
      </c>
      <c r="M162" s="703">
        <f ca="1">IF(VLOOKUP($L162,Data!$C:$H,1,TRUE)=$L162,VLOOKUP($L162,Data!$C:$H,6,TRUE),NA())</f>
        <v>0</v>
      </c>
      <c r="N162" s="466"/>
      <c r="O162" s="467"/>
      <c r="P162" s="297"/>
      <c r="Q162" s="297"/>
      <c r="R162" s="297"/>
      <c r="S162" s="297"/>
      <c r="T162" s="467"/>
    </row>
    <row r="163" spans="1:20" ht="14" customHeight="1" x14ac:dyDescent="0.25">
      <c r="A163" s="332"/>
      <c r="B163" s="461"/>
      <c r="C163" s="686"/>
      <c r="H163" s="686"/>
      <c r="I163" s="686"/>
      <c r="J163" s="686"/>
      <c r="K163" s="686"/>
      <c r="L163" s="702" t="s">
        <v>210</v>
      </c>
      <c r="M163" s="703">
        <f ca="1">IF(VLOOKUP($L163,Data!$C:$H,1,TRUE)=$L163,VLOOKUP($L163,Data!$C:$H,6,TRUE),NA())</f>
        <v>0</v>
      </c>
      <c r="N163" s="466"/>
      <c r="O163" s="467"/>
      <c r="P163" s="297"/>
      <c r="Q163" s="297"/>
      <c r="R163" s="297"/>
      <c r="S163" s="297"/>
      <c r="T163" s="467"/>
    </row>
    <row r="164" spans="1:20" ht="14" customHeight="1" x14ac:dyDescent="0.25">
      <c r="A164" s="332"/>
      <c r="B164" s="461"/>
      <c r="C164" s="686"/>
      <c r="H164" s="686"/>
      <c r="I164" s="686"/>
      <c r="J164" s="686"/>
      <c r="K164" s="686"/>
      <c r="L164" s="702" t="s">
        <v>212</v>
      </c>
      <c r="M164" s="703">
        <f ca="1">IF(VLOOKUP($L164,Data!$C:$H,1,TRUE)=$L164,VLOOKUP($L164,Data!$C:$H,6,TRUE),NA())</f>
        <v>0</v>
      </c>
      <c r="N164" s="466"/>
      <c r="O164" s="467"/>
      <c r="P164" s="297"/>
      <c r="Q164" s="297"/>
      <c r="R164" s="297"/>
      <c r="S164" s="297"/>
      <c r="T164" s="467"/>
    </row>
    <row r="165" spans="1:20" ht="14" customHeight="1" x14ac:dyDescent="0.25">
      <c r="A165" s="332"/>
      <c r="B165" s="461"/>
      <c r="C165" s="686"/>
      <c r="H165" s="686"/>
      <c r="I165" s="686"/>
      <c r="J165" s="686"/>
      <c r="K165" s="686"/>
      <c r="L165" s="702" t="s">
        <v>214</v>
      </c>
      <c r="M165" s="703">
        <f ca="1">IF(VLOOKUP($L165,Data!$C:$H,1,TRUE)=$L165,VLOOKUP($L165,Data!$C:$H,6,TRUE),NA())</f>
        <v>0</v>
      </c>
      <c r="N165" s="466"/>
      <c r="O165" s="467"/>
      <c r="P165" s="297"/>
      <c r="Q165" s="297"/>
      <c r="R165" s="297"/>
      <c r="S165" s="297"/>
      <c r="T165" s="467"/>
    </row>
    <row r="166" spans="1:20" ht="14" customHeight="1" x14ac:dyDescent="0.25">
      <c r="A166" s="332"/>
      <c r="B166" s="461"/>
      <c r="C166" s="686"/>
      <c r="H166" s="686"/>
      <c r="I166" s="686"/>
      <c r="J166" s="686"/>
      <c r="K166" s="686"/>
      <c r="L166" s="702" t="s">
        <v>216</v>
      </c>
      <c r="M166" s="703">
        <f ca="1">IF(VLOOKUP($L166,Data!$C:$H,1,TRUE)=$L166,VLOOKUP($L166,Data!$C:$H,6,TRUE),NA())</f>
        <v>0</v>
      </c>
      <c r="N166" s="466"/>
      <c r="O166" s="467"/>
      <c r="P166" s="297"/>
      <c r="Q166" s="297"/>
      <c r="R166" s="297"/>
      <c r="S166" s="297"/>
      <c r="T166" s="467"/>
    </row>
    <row r="167" spans="1:20" ht="14" customHeight="1" x14ac:dyDescent="0.25">
      <c r="A167" s="332"/>
      <c r="B167" s="461"/>
      <c r="C167" s="686"/>
      <c r="H167" s="686"/>
      <c r="I167" s="686"/>
      <c r="J167" s="686"/>
      <c r="K167" s="686"/>
      <c r="L167" s="702" t="s">
        <v>218</v>
      </c>
      <c r="M167" s="703">
        <f ca="1">IF(VLOOKUP($L167,Data!$C:$H,1,TRUE)=$L167,VLOOKUP($L167,Data!$C:$H,6,TRUE),NA())</f>
        <v>0</v>
      </c>
      <c r="N167" s="466"/>
      <c r="O167" s="467"/>
      <c r="P167" s="297"/>
      <c r="Q167" s="297"/>
      <c r="R167" s="297"/>
      <c r="S167" s="297"/>
      <c r="T167" s="467"/>
    </row>
    <row r="168" spans="1:20" ht="14" customHeight="1" x14ac:dyDescent="0.25">
      <c r="A168" s="332"/>
      <c r="B168" s="461"/>
      <c r="C168" s="686"/>
      <c r="H168" s="686"/>
      <c r="I168" s="686"/>
      <c r="J168" s="686"/>
      <c r="K168" s="686"/>
      <c r="L168" s="702" t="s">
        <v>219</v>
      </c>
      <c r="M168" s="703">
        <f ca="1">IF(VLOOKUP($L168,Data!$C:$H,1,TRUE)=$L168,VLOOKUP($L168,Data!$C:$H,6,TRUE),NA())</f>
        <v>0</v>
      </c>
      <c r="N168" s="466"/>
      <c r="O168" s="467"/>
      <c r="P168" s="297"/>
      <c r="Q168" s="297"/>
      <c r="R168" s="297"/>
      <c r="S168" s="297"/>
      <c r="T168" s="467"/>
    </row>
    <row r="169" spans="1:20" ht="14" customHeight="1" x14ac:dyDescent="0.25">
      <c r="A169" s="332"/>
      <c r="B169" s="461"/>
      <c r="C169" s="686"/>
      <c r="H169" s="686"/>
      <c r="I169" s="686"/>
      <c r="J169" s="686"/>
      <c r="K169" s="686"/>
      <c r="L169" s="702" t="s">
        <v>220</v>
      </c>
      <c r="M169" s="703">
        <f ca="1">IF(VLOOKUP($L169,Data!$C:$H,1,TRUE)=$L169,VLOOKUP($L169,Data!$C:$H,6,TRUE),NA())</f>
        <v>0</v>
      </c>
      <c r="N169" s="466"/>
      <c r="O169" s="467"/>
      <c r="P169" s="297"/>
      <c r="Q169" s="297"/>
      <c r="R169" s="297"/>
      <c r="S169" s="297"/>
      <c r="T169" s="467"/>
    </row>
    <row r="170" spans="1:20" ht="14" customHeight="1" x14ac:dyDescent="0.25">
      <c r="A170" s="332"/>
      <c r="B170" s="461"/>
      <c r="C170" s="686"/>
      <c r="H170" s="686"/>
      <c r="I170" s="686"/>
      <c r="J170" s="686"/>
      <c r="K170" s="686"/>
      <c r="L170" s="702" t="s">
        <v>221</v>
      </c>
      <c r="M170" s="703">
        <f ca="1">IF(VLOOKUP($L170,Data!$C:$H,1,TRUE)=$L170,VLOOKUP($L170,Data!$C:$H,6,TRUE),NA())</f>
        <v>0</v>
      </c>
      <c r="N170" s="466"/>
      <c r="O170" s="467"/>
      <c r="P170" s="297"/>
      <c r="Q170" s="297"/>
      <c r="R170" s="297"/>
      <c r="S170" s="297"/>
      <c r="T170" s="467"/>
    </row>
    <row r="171" spans="1:20" ht="14" customHeight="1" x14ac:dyDescent="0.25">
      <c r="A171" s="332"/>
      <c r="B171" s="461"/>
      <c r="C171" s="686"/>
      <c r="H171" s="686"/>
      <c r="I171" s="686"/>
      <c r="J171" s="686"/>
      <c r="K171" s="686"/>
      <c r="L171" s="702" t="s">
        <v>222</v>
      </c>
      <c r="M171" s="703">
        <f ca="1">IF(VLOOKUP($L171,Data!$C:$H,1,TRUE)=$L171,VLOOKUP($L171,Data!$C:$H,6,TRUE),NA())</f>
        <v>0</v>
      </c>
      <c r="N171" s="466"/>
      <c r="O171" s="467"/>
      <c r="P171" s="297"/>
      <c r="Q171" s="297"/>
      <c r="R171" s="297"/>
      <c r="S171" s="297"/>
      <c r="T171" s="467"/>
    </row>
    <row r="172" spans="1:20" ht="14" customHeight="1" x14ac:dyDescent="0.25">
      <c r="A172" s="332"/>
      <c r="B172" s="461"/>
      <c r="C172" s="686"/>
      <c r="H172" s="686"/>
      <c r="I172" s="686"/>
      <c r="J172" s="686"/>
      <c r="K172" s="686"/>
      <c r="L172" s="702" t="s">
        <v>223</v>
      </c>
      <c r="M172" s="703">
        <f ca="1">IF(VLOOKUP($L172,Data!$C:$H,1,TRUE)=$L172,VLOOKUP($L172,Data!$C:$H,6,TRUE),NA())</f>
        <v>0</v>
      </c>
      <c r="N172" s="466"/>
      <c r="O172" s="467"/>
      <c r="P172" s="297"/>
      <c r="Q172" s="297"/>
      <c r="R172" s="297"/>
      <c r="S172" s="297"/>
      <c r="T172" s="467"/>
    </row>
    <row r="173" spans="1:20" ht="14" customHeight="1" x14ac:dyDescent="0.25">
      <c r="A173" s="332"/>
      <c r="B173" s="461"/>
      <c r="C173" s="686"/>
      <c r="H173" s="686"/>
      <c r="I173" s="686"/>
      <c r="J173" s="686"/>
      <c r="K173" s="686"/>
      <c r="L173" s="702" t="s">
        <v>224</v>
      </c>
      <c r="M173" s="703">
        <f ca="1">IF(VLOOKUP($L173,Data!$C:$H,1,TRUE)=$L173,VLOOKUP($L173,Data!$C:$H,6,TRUE),NA())</f>
        <v>0</v>
      </c>
      <c r="N173" s="466"/>
      <c r="O173" s="467"/>
      <c r="P173" s="297"/>
      <c r="Q173" s="297"/>
      <c r="R173" s="297"/>
      <c r="S173" s="297"/>
      <c r="T173" s="467"/>
    </row>
    <row r="174" spans="1:20" ht="14" customHeight="1" x14ac:dyDescent="0.25">
      <c r="A174" s="332"/>
      <c r="B174" s="461"/>
      <c r="C174" s="686"/>
      <c r="H174" s="686"/>
      <c r="I174" s="686"/>
      <c r="J174" s="686"/>
      <c r="K174" s="686"/>
      <c r="L174" s="702" t="s">
        <v>225</v>
      </c>
      <c r="M174" s="703">
        <f ca="1">IF(VLOOKUP($L174,Data!$C:$H,1,TRUE)=$L174,VLOOKUP($L174,Data!$C:$H,6,TRUE),NA())</f>
        <v>0</v>
      </c>
      <c r="N174" s="466"/>
      <c r="O174" s="467"/>
      <c r="P174" s="297"/>
      <c r="Q174" s="297"/>
      <c r="R174" s="297"/>
      <c r="S174" s="297"/>
      <c r="T174" s="467"/>
    </row>
    <row r="175" spans="1:20" ht="14" customHeight="1" x14ac:dyDescent="0.25">
      <c r="A175" s="332"/>
      <c r="B175" s="461"/>
      <c r="C175" s="686"/>
      <c r="H175" s="686"/>
      <c r="I175" s="686"/>
      <c r="J175" s="686"/>
      <c r="K175" s="686"/>
      <c r="L175" s="702" t="s">
        <v>226</v>
      </c>
      <c r="M175" s="703">
        <f ca="1">IF(VLOOKUP($L175,Data!$C:$H,1,TRUE)=$L175,VLOOKUP($L175,Data!$C:$H,6,TRUE),NA())</f>
        <v>0</v>
      </c>
      <c r="N175" s="466"/>
      <c r="O175" s="467"/>
      <c r="P175" s="297"/>
      <c r="Q175" s="297"/>
      <c r="R175" s="297"/>
      <c r="S175" s="297"/>
      <c r="T175" s="467"/>
    </row>
    <row r="176" spans="1:20" ht="14" customHeight="1" x14ac:dyDescent="0.25">
      <c r="A176" s="332"/>
      <c r="B176" s="461"/>
      <c r="C176" s="686"/>
      <c r="H176" s="686"/>
      <c r="I176" s="686"/>
      <c r="J176" s="686"/>
      <c r="K176" s="686"/>
      <c r="L176" s="702" t="s">
        <v>227</v>
      </c>
      <c r="M176" s="703">
        <f ca="1">IF(VLOOKUP($L176,Data!$C:$H,1,TRUE)=$L176,VLOOKUP($L176,Data!$C:$H,6,TRUE),NA())</f>
        <v>0</v>
      </c>
      <c r="N176" s="466"/>
      <c r="O176" s="467"/>
      <c r="P176" s="297"/>
      <c r="Q176" s="297"/>
      <c r="R176" s="297"/>
      <c r="S176" s="297"/>
      <c r="T176" s="467"/>
    </row>
    <row r="177" spans="1:20" ht="14" customHeight="1" x14ac:dyDescent="0.25">
      <c r="A177" s="332"/>
      <c r="B177" s="461"/>
      <c r="C177" s="686"/>
      <c r="H177" s="686"/>
      <c r="I177" s="686"/>
      <c r="J177" s="686"/>
      <c r="K177" s="686"/>
      <c r="L177" s="702" t="s">
        <v>228</v>
      </c>
      <c r="M177" s="703">
        <f ca="1">IF(VLOOKUP($L177,Data!$C:$H,1,TRUE)=$L177,VLOOKUP($L177,Data!$C:$H,6,TRUE),NA())</f>
        <v>0</v>
      </c>
      <c r="N177" s="466"/>
      <c r="O177" s="467"/>
      <c r="P177" s="297"/>
      <c r="Q177" s="297"/>
      <c r="R177" s="297"/>
      <c r="S177" s="297"/>
      <c r="T177" s="467"/>
    </row>
    <row r="178" spans="1:20" ht="14" customHeight="1" x14ac:dyDescent="0.25">
      <c r="A178" s="332"/>
      <c r="B178" s="461"/>
      <c r="C178" s="686"/>
      <c r="H178" s="686"/>
      <c r="I178" s="686"/>
      <c r="J178" s="686"/>
      <c r="K178" s="686"/>
      <c r="L178" s="702" t="s">
        <v>229</v>
      </c>
      <c r="M178" s="703">
        <f ca="1">IF(VLOOKUP($L178,Data!$C:$H,1,TRUE)=$L178,VLOOKUP($L178,Data!$C:$H,6,TRUE),NA())</f>
        <v>0</v>
      </c>
      <c r="N178" s="466"/>
      <c r="O178" s="467"/>
      <c r="P178" s="297"/>
      <c r="Q178" s="297"/>
      <c r="R178" s="297"/>
      <c r="S178" s="297"/>
      <c r="T178" s="467"/>
    </row>
    <row r="179" spans="1:20" ht="14" customHeight="1" x14ac:dyDescent="0.25">
      <c r="A179" s="332"/>
      <c r="B179" s="461"/>
      <c r="C179" s="686"/>
      <c r="H179" s="686"/>
      <c r="I179" s="686"/>
      <c r="J179" s="686"/>
      <c r="K179" s="686"/>
      <c r="L179" s="702" t="s">
        <v>230</v>
      </c>
      <c r="M179" s="703">
        <f ca="1">IF(VLOOKUP($L179,Data!$C:$H,1,TRUE)=$L179,VLOOKUP($L179,Data!$C:$H,6,TRUE),NA())</f>
        <v>0</v>
      </c>
      <c r="N179" s="466"/>
      <c r="O179" s="467"/>
      <c r="P179" s="297"/>
      <c r="Q179" s="297"/>
      <c r="R179" s="297"/>
      <c r="S179" s="297"/>
      <c r="T179" s="467"/>
    </row>
    <row r="180" spans="1:20" ht="14" customHeight="1" x14ac:dyDescent="0.25">
      <c r="A180" s="332"/>
      <c r="B180" s="461"/>
      <c r="C180" s="686"/>
      <c r="H180" s="686"/>
      <c r="I180" s="686"/>
      <c r="J180" s="686"/>
      <c r="K180" s="686"/>
      <c r="L180" s="702" t="s">
        <v>231</v>
      </c>
      <c r="M180" s="703">
        <f ca="1">IF(VLOOKUP($L180,Data!$C:$H,1,TRUE)=$L180,VLOOKUP($L180,Data!$C:$H,6,TRUE),NA())</f>
        <v>0</v>
      </c>
      <c r="N180" s="466"/>
      <c r="O180" s="467"/>
      <c r="P180" s="297"/>
      <c r="Q180" s="297"/>
      <c r="R180" s="297"/>
      <c r="S180" s="297"/>
      <c r="T180" s="467"/>
    </row>
    <row r="181" spans="1:20" ht="14" customHeight="1" x14ac:dyDescent="0.25">
      <c r="A181" s="332"/>
      <c r="B181" s="461"/>
      <c r="C181" s="686"/>
      <c r="H181" s="686"/>
      <c r="I181" s="686"/>
      <c r="J181" s="686"/>
      <c r="K181" s="686"/>
      <c r="L181" s="702" t="s">
        <v>232</v>
      </c>
      <c r="M181" s="703">
        <f ca="1">IF(VLOOKUP($L181,Data!$C:$H,1,TRUE)=$L181,VLOOKUP($L181,Data!$C:$H,6,TRUE),NA())</f>
        <v>0</v>
      </c>
      <c r="N181" s="466"/>
      <c r="O181" s="467"/>
      <c r="P181" s="297"/>
      <c r="Q181" s="297"/>
      <c r="R181" s="297"/>
      <c r="S181" s="297"/>
      <c r="T181" s="467"/>
    </row>
    <row r="182" spans="1:20" ht="14" customHeight="1" x14ac:dyDescent="0.25">
      <c r="A182" s="332"/>
      <c r="B182" s="461"/>
      <c r="C182" s="686"/>
      <c r="H182" s="686"/>
      <c r="I182" s="686"/>
      <c r="J182" s="686"/>
      <c r="K182" s="686"/>
      <c r="L182" s="702" t="s">
        <v>233</v>
      </c>
      <c r="M182" s="703">
        <f ca="1">IF(VLOOKUP($L182,Data!$C:$H,1,TRUE)=$L182,VLOOKUP($L182,Data!$C:$H,6,TRUE),NA())</f>
        <v>0</v>
      </c>
      <c r="N182" s="466"/>
      <c r="O182" s="467"/>
      <c r="P182" s="297"/>
      <c r="Q182" s="297"/>
      <c r="R182" s="297"/>
      <c r="S182" s="297"/>
      <c r="T182" s="467"/>
    </row>
    <row r="183" spans="1:20" ht="14" customHeight="1" x14ac:dyDescent="0.25">
      <c r="A183" s="332"/>
      <c r="B183" s="461"/>
      <c r="C183" s="686"/>
      <c r="H183" s="686"/>
      <c r="I183" s="686"/>
      <c r="J183" s="686"/>
      <c r="K183" s="686"/>
      <c r="L183" s="702" t="s">
        <v>234</v>
      </c>
      <c r="M183" s="703">
        <f ca="1">IF(VLOOKUP($L183,Data!$C:$H,1,TRUE)=$L183,VLOOKUP($L183,Data!$C:$H,6,TRUE),NA())</f>
        <v>0</v>
      </c>
      <c r="N183" s="466"/>
      <c r="O183" s="467"/>
      <c r="P183" s="297"/>
      <c r="Q183" s="297"/>
      <c r="R183" s="297"/>
      <c r="S183" s="297"/>
      <c r="T183" s="467"/>
    </row>
    <row r="184" spans="1:20" ht="14" customHeight="1" x14ac:dyDescent="0.25">
      <c r="A184" s="332"/>
      <c r="B184" s="461"/>
      <c r="C184" s="686"/>
      <c r="H184" s="686"/>
      <c r="I184" s="686"/>
      <c r="J184" s="686"/>
      <c r="K184" s="686"/>
      <c r="L184" s="702" t="s">
        <v>235</v>
      </c>
      <c r="M184" s="703">
        <f ca="1">IF(VLOOKUP($L184,Data!$C:$H,1,TRUE)=$L184,VLOOKUP($L184,Data!$C:$H,6,TRUE),NA())</f>
        <v>0</v>
      </c>
      <c r="N184" s="466"/>
      <c r="O184" s="467"/>
      <c r="P184" s="297"/>
      <c r="Q184" s="297"/>
      <c r="R184" s="297"/>
      <c r="S184" s="297"/>
      <c r="T184" s="467"/>
    </row>
    <row r="185" spans="1:20" ht="14" customHeight="1" x14ac:dyDescent="0.25">
      <c r="A185" s="332"/>
      <c r="B185" s="461"/>
      <c r="C185" s="686"/>
      <c r="H185" s="686"/>
      <c r="I185" s="686"/>
      <c r="J185" s="686"/>
      <c r="K185" s="686"/>
      <c r="L185" s="702" t="s">
        <v>236</v>
      </c>
      <c r="M185" s="703">
        <f ca="1">IF(VLOOKUP($L185,Data!$C:$H,1,TRUE)=$L185,VLOOKUP($L185,Data!$C:$H,6,TRUE),NA())</f>
        <v>0</v>
      </c>
      <c r="N185" s="466"/>
      <c r="O185" s="467"/>
      <c r="P185" s="297"/>
      <c r="Q185" s="297"/>
      <c r="R185" s="297"/>
      <c r="S185" s="297"/>
      <c r="T185" s="467"/>
    </row>
    <row r="186" spans="1:20" ht="14" customHeight="1" x14ac:dyDescent="0.25">
      <c r="A186" s="332"/>
      <c r="B186" s="461"/>
      <c r="C186" s="686"/>
      <c r="H186" s="686"/>
      <c r="I186" s="686"/>
      <c r="J186" s="686"/>
      <c r="K186" s="686"/>
      <c r="L186" s="702" t="s">
        <v>237</v>
      </c>
      <c r="M186" s="703">
        <f ca="1">IF(VLOOKUP($L186,Data!$C:$H,1,TRUE)=$L186,VLOOKUP($L186,Data!$C:$H,6,TRUE),NA())</f>
        <v>0</v>
      </c>
      <c r="N186" s="466"/>
      <c r="O186" s="467"/>
      <c r="P186" s="297"/>
      <c r="Q186" s="297"/>
      <c r="R186" s="297"/>
      <c r="S186" s="297"/>
      <c r="T186" s="467"/>
    </row>
    <row r="187" spans="1:20" ht="14" customHeight="1" x14ac:dyDescent="0.25">
      <c r="A187" s="332"/>
      <c r="B187" s="461"/>
      <c r="C187" s="686"/>
      <c r="H187" s="686"/>
      <c r="I187" s="686"/>
      <c r="J187" s="686"/>
      <c r="K187" s="686"/>
      <c r="L187" s="702" t="s">
        <v>238</v>
      </c>
      <c r="M187" s="703">
        <f ca="1">IF(VLOOKUP($L187,Data!$C:$H,1,TRUE)=$L187,VLOOKUP($L187,Data!$C:$H,6,TRUE),NA())</f>
        <v>0</v>
      </c>
      <c r="N187" s="466"/>
      <c r="O187" s="467"/>
      <c r="P187" s="297"/>
      <c r="Q187" s="297"/>
      <c r="R187" s="297"/>
      <c r="S187" s="297"/>
      <c r="T187" s="467"/>
    </row>
    <row r="188" spans="1:20" ht="14" customHeight="1" x14ac:dyDescent="0.25">
      <c r="A188" s="332"/>
      <c r="B188" s="461"/>
      <c r="C188" s="686"/>
      <c r="H188" s="686"/>
      <c r="I188" s="686"/>
      <c r="J188" s="686"/>
      <c r="K188" s="686"/>
      <c r="L188" s="702" t="s">
        <v>239</v>
      </c>
      <c r="M188" s="703">
        <f ca="1">IF(VLOOKUP($L188,Data!$C:$H,1,TRUE)=$L188,VLOOKUP($L188,Data!$C:$H,6,TRUE),NA())</f>
        <v>0</v>
      </c>
      <c r="N188" s="466"/>
      <c r="O188" s="467"/>
      <c r="P188" s="297"/>
      <c r="Q188" s="297"/>
      <c r="R188" s="297"/>
      <c r="S188" s="297"/>
      <c r="T188" s="467"/>
    </row>
    <row r="189" spans="1:20" ht="14" customHeight="1" x14ac:dyDescent="0.25">
      <c r="A189" s="332"/>
      <c r="B189" s="461"/>
      <c r="C189" s="686"/>
      <c r="H189" s="686"/>
      <c r="I189" s="686"/>
      <c r="J189" s="686"/>
      <c r="K189" s="686"/>
      <c r="L189" s="702" t="s">
        <v>240</v>
      </c>
      <c r="M189" s="703">
        <f ca="1">IF(VLOOKUP($L189,Data!$C:$H,1,TRUE)=$L189,VLOOKUP($L189,Data!$C:$H,6,TRUE),NA())</f>
        <v>0</v>
      </c>
      <c r="N189" s="466"/>
      <c r="O189" s="467"/>
      <c r="P189" s="297"/>
      <c r="Q189" s="297"/>
      <c r="R189" s="297"/>
      <c r="S189" s="297"/>
      <c r="T189" s="467"/>
    </row>
    <row r="190" spans="1:20" ht="14" customHeight="1" x14ac:dyDescent="0.25">
      <c r="A190" s="332"/>
      <c r="B190" s="461"/>
      <c r="C190" s="686"/>
      <c r="H190" s="686"/>
      <c r="I190" s="686"/>
      <c r="J190" s="686"/>
      <c r="K190" s="686"/>
      <c r="L190" s="702" t="s">
        <v>241</v>
      </c>
      <c r="M190" s="703">
        <f ca="1">IF(VLOOKUP($L190,Data!$C:$H,1,TRUE)=$L190,VLOOKUP($L190,Data!$C:$H,6,TRUE),NA())</f>
        <v>0</v>
      </c>
      <c r="N190" s="466"/>
      <c r="O190" s="467"/>
      <c r="P190" s="297"/>
      <c r="Q190" s="297"/>
      <c r="R190" s="297"/>
      <c r="S190" s="297"/>
      <c r="T190" s="467"/>
    </row>
    <row r="191" spans="1:20" ht="14" customHeight="1" x14ac:dyDescent="0.25">
      <c r="A191" s="332"/>
      <c r="B191" s="461"/>
      <c r="C191" s="686"/>
      <c r="H191" s="686"/>
      <c r="I191" s="686"/>
      <c r="J191" s="686"/>
      <c r="K191" s="686"/>
      <c r="L191" s="702" t="s">
        <v>242</v>
      </c>
      <c r="M191" s="703">
        <f ca="1">IF(VLOOKUP($L191,Data!$C:$H,1,TRUE)=$L191,VLOOKUP($L191,Data!$C:$H,6,TRUE),NA())</f>
        <v>0</v>
      </c>
      <c r="N191" s="466"/>
      <c r="O191" s="467"/>
      <c r="P191" s="297"/>
      <c r="Q191" s="297"/>
      <c r="R191" s="297"/>
      <c r="S191" s="297"/>
      <c r="T191" s="467"/>
    </row>
    <row r="192" spans="1:20" ht="14" customHeight="1" x14ac:dyDescent="0.25">
      <c r="A192" s="332"/>
      <c r="B192" s="461"/>
      <c r="C192" s="686"/>
      <c r="H192" s="686"/>
      <c r="I192" s="686"/>
      <c r="J192" s="686"/>
      <c r="K192" s="686"/>
      <c r="L192" s="702" t="s">
        <v>243</v>
      </c>
      <c r="M192" s="703">
        <f ca="1">IF(VLOOKUP($L192,Data!$C:$H,1,TRUE)=$L192,VLOOKUP($L192,Data!$C:$H,6,TRUE),NA())</f>
        <v>0</v>
      </c>
      <c r="N192" s="466"/>
      <c r="O192" s="467"/>
      <c r="P192" s="297"/>
      <c r="Q192" s="297"/>
      <c r="R192" s="297"/>
      <c r="S192" s="297"/>
      <c r="T192" s="467"/>
    </row>
    <row r="193" spans="1:20" ht="14" customHeight="1" x14ac:dyDescent="0.25">
      <c r="A193" s="332"/>
      <c r="B193" s="461"/>
      <c r="C193" s="686"/>
      <c r="H193" s="686"/>
      <c r="I193" s="686"/>
      <c r="J193" s="686"/>
      <c r="K193" s="686"/>
      <c r="L193" s="702" t="s">
        <v>244</v>
      </c>
      <c r="M193" s="703">
        <f ca="1">IF(VLOOKUP($L193,Data!$C:$H,1,TRUE)=$L193,VLOOKUP($L193,Data!$C:$H,6,TRUE),NA())</f>
        <v>0</v>
      </c>
      <c r="N193" s="466"/>
      <c r="O193" s="467"/>
      <c r="P193" s="297"/>
      <c r="Q193" s="297"/>
      <c r="R193" s="297"/>
      <c r="S193" s="297"/>
      <c r="T193" s="467"/>
    </row>
    <row r="194" spans="1:20" ht="14" customHeight="1" x14ac:dyDescent="0.25">
      <c r="A194" s="332"/>
      <c r="B194" s="461"/>
      <c r="C194" s="686"/>
      <c r="H194" s="686"/>
      <c r="I194" s="686"/>
      <c r="J194" s="686"/>
      <c r="K194" s="686"/>
      <c r="L194" s="702" t="s">
        <v>245</v>
      </c>
      <c r="M194" s="703">
        <f ca="1">IF(VLOOKUP($L194,Data!$C:$H,1,TRUE)=$L194,VLOOKUP($L194,Data!$C:$H,6,TRUE),NA())</f>
        <v>0</v>
      </c>
      <c r="N194" s="466"/>
      <c r="O194" s="467"/>
      <c r="P194" s="297"/>
      <c r="Q194" s="297"/>
      <c r="R194" s="297"/>
      <c r="S194" s="297"/>
      <c r="T194" s="467"/>
    </row>
    <row r="195" spans="1:20" ht="14" customHeight="1" x14ac:dyDescent="0.25">
      <c r="A195" s="332"/>
      <c r="B195" s="461"/>
      <c r="C195" s="686"/>
      <c r="H195" s="686"/>
      <c r="I195" s="686"/>
      <c r="J195" s="686"/>
      <c r="K195" s="686"/>
      <c r="L195" s="702" t="s">
        <v>246</v>
      </c>
      <c r="M195" s="703">
        <f ca="1">IF(VLOOKUP($L195,Data!$C:$H,1,TRUE)=$L195,VLOOKUP($L195,Data!$C:$H,6,TRUE),NA())</f>
        <v>0</v>
      </c>
      <c r="N195" s="466"/>
      <c r="O195" s="467"/>
      <c r="P195" s="297"/>
      <c r="Q195" s="297"/>
      <c r="R195" s="297"/>
      <c r="S195" s="297"/>
      <c r="T195" s="467"/>
    </row>
    <row r="196" spans="1:20" ht="14" customHeight="1" x14ac:dyDescent="0.25">
      <c r="A196" s="332"/>
      <c r="B196" s="461"/>
      <c r="C196" s="686"/>
      <c r="H196" s="686"/>
      <c r="I196" s="686"/>
      <c r="J196" s="686"/>
      <c r="K196" s="686"/>
      <c r="L196" s="702" t="s">
        <v>248</v>
      </c>
      <c r="M196" s="703">
        <f ca="1">IF(VLOOKUP($L196,Data!$C:$H,1,TRUE)=$L196,VLOOKUP($L196,Data!$C:$H,6,TRUE),NA())</f>
        <v>0</v>
      </c>
      <c r="N196" s="466"/>
      <c r="O196" s="467"/>
      <c r="P196" s="297"/>
      <c r="Q196" s="297"/>
      <c r="R196" s="297"/>
      <c r="S196" s="297"/>
      <c r="T196" s="467"/>
    </row>
    <row r="197" spans="1:20" ht="14" customHeight="1" x14ac:dyDescent="0.25">
      <c r="A197" s="332"/>
      <c r="B197" s="461"/>
      <c r="C197" s="686"/>
      <c r="H197" s="686"/>
      <c r="I197" s="686"/>
      <c r="J197" s="686"/>
      <c r="K197" s="686"/>
      <c r="L197" s="702" t="s">
        <v>249</v>
      </c>
      <c r="M197" s="703">
        <f ca="1">IF(VLOOKUP($L197,Data!$C:$H,1,TRUE)=$L197,VLOOKUP($L197,Data!$C:$H,6,TRUE),NA())</f>
        <v>0</v>
      </c>
      <c r="N197" s="466"/>
      <c r="O197" s="467"/>
      <c r="P197" s="297"/>
      <c r="Q197" s="297"/>
      <c r="R197" s="297"/>
      <c r="S197" s="297"/>
      <c r="T197" s="467"/>
    </row>
    <row r="198" spans="1:20" ht="14" customHeight="1" x14ac:dyDescent="0.25">
      <c r="A198" s="332"/>
      <c r="B198" s="461"/>
      <c r="C198" s="686"/>
      <c r="H198" s="686"/>
      <c r="I198" s="686"/>
      <c r="J198" s="686"/>
      <c r="K198" s="686"/>
      <c r="L198" s="702" t="s">
        <v>250</v>
      </c>
      <c r="M198" s="703">
        <f ca="1">IF(VLOOKUP($L198,Data!$C:$H,1,TRUE)=$L198,VLOOKUP($L198,Data!$C:$H,6,TRUE),NA())</f>
        <v>0</v>
      </c>
      <c r="N198" s="466"/>
      <c r="O198" s="467"/>
      <c r="P198" s="297"/>
      <c r="Q198" s="297"/>
      <c r="R198" s="297"/>
      <c r="S198" s="297"/>
      <c r="T198" s="467"/>
    </row>
    <row r="199" spans="1:20" ht="14" customHeight="1" x14ac:dyDescent="0.25">
      <c r="A199" s="332"/>
      <c r="B199" s="461"/>
      <c r="C199" s="686"/>
      <c r="H199" s="686"/>
      <c r="I199" s="686"/>
      <c r="J199" s="686"/>
      <c r="K199" s="686"/>
      <c r="L199" s="702" t="s">
        <v>251</v>
      </c>
      <c r="M199" s="703">
        <f ca="1">IF(VLOOKUP($L199,Data!$C:$H,1,TRUE)=$L199,VLOOKUP($L199,Data!$C:$H,6,TRUE),NA())</f>
        <v>0</v>
      </c>
      <c r="N199" s="466"/>
      <c r="O199" s="467"/>
      <c r="P199" s="297"/>
      <c r="Q199" s="297"/>
      <c r="R199" s="297"/>
      <c r="S199" s="297"/>
      <c r="T199" s="467"/>
    </row>
    <row r="200" spans="1:20" ht="14" customHeight="1" x14ac:dyDescent="0.25">
      <c r="A200" s="332"/>
      <c r="B200" s="461"/>
      <c r="C200" s="686"/>
      <c r="H200" s="686"/>
      <c r="I200" s="686"/>
      <c r="J200" s="686"/>
      <c r="K200" s="686"/>
      <c r="L200" s="702" t="s">
        <v>252</v>
      </c>
      <c r="M200" s="703">
        <f ca="1">IF(VLOOKUP($L200,Data!$C:$H,1,TRUE)=$L200,VLOOKUP($L200,Data!$C:$H,6,TRUE),NA())</f>
        <v>0</v>
      </c>
      <c r="N200" s="466"/>
      <c r="O200" s="467"/>
      <c r="P200" s="297"/>
      <c r="Q200" s="297"/>
      <c r="R200" s="297"/>
      <c r="S200" s="297"/>
      <c r="T200" s="467"/>
    </row>
    <row r="201" spans="1:20" ht="14" customHeight="1" x14ac:dyDescent="0.25">
      <c r="A201" s="332"/>
      <c r="B201" s="461"/>
      <c r="C201" s="686"/>
      <c r="H201" s="686"/>
      <c r="I201" s="686"/>
      <c r="J201" s="686"/>
      <c r="K201" s="686"/>
      <c r="L201" s="702" t="s">
        <v>253</v>
      </c>
      <c r="M201" s="703">
        <f ca="1">IF(VLOOKUP($L201,Data!$C:$H,1,TRUE)=$L201,VLOOKUP($L201,Data!$C:$H,6,TRUE),NA())</f>
        <v>0</v>
      </c>
      <c r="N201" s="466"/>
      <c r="O201" s="467"/>
      <c r="P201" s="297"/>
      <c r="Q201" s="297"/>
      <c r="R201" s="297"/>
      <c r="S201" s="297"/>
      <c r="T201" s="467"/>
    </row>
    <row r="202" spans="1:20" ht="14" customHeight="1" x14ac:dyDescent="0.25">
      <c r="A202" s="332"/>
      <c r="B202" s="461"/>
      <c r="C202" s="686"/>
      <c r="H202" s="686"/>
      <c r="I202" s="686"/>
      <c r="J202" s="686"/>
      <c r="K202" s="686"/>
      <c r="L202" s="702" t="s">
        <v>254</v>
      </c>
      <c r="M202" s="703">
        <f ca="1">IF(VLOOKUP($L202,Data!$C:$H,1,TRUE)=$L202,VLOOKUP($L202,Data!$C:$H,6,TRUE),NA())</f>
        <v>0</v>
      </c>
      <c r="N202" s="466"/>
      <c r="O202" s="467"/>
      <c r="P202" s="297"/>
      <c r="Q202" s="297"/>
      <c r="R202" s="297"/>
      <c r="S202" s="297"/>
      <c r="T202" s="467"/>
    </row>
    <row r="203" spans="1:20" ht="14" customHeight="1" x14ac:dyDescent="0.25">
      <c r="A203" s="332"/>
      <c r="B203" s="461"/>
      <c r="C203" s="686"/>
      <c r="H203" s="686"/>
      <c r="I203" s="686"/>
      <c r="J203" s="686"/>
      <c r="K203" s="686"/>
      <c r="L203" s="702" t="s">
        <v>256</v>
      </c>
      <c r="M203" s="703">
        <f ca="1">IF(VLOOKUP($L203,Data!$C:$H,1,TRUE)=$L203,VLOOKUP($L203,Data!$C:$H,6,TRUE),NA())</f>
        <v>0</v>
      </c>
      <c r="N203" s="466"/>
      <c r="O203" s="467"/>
      <c r="P203" s="297"/>
      <c r="Q203" s="297"/>
      <c r="R203" s="297"/>
      <c r="S203" s="297"/>
      <c r="T203" s="467"/>
    </row>
    <row r="204" spans="1:20" ht="14" customHeight="1" x14ac:dyDescent="0.25">
      <c r="A204" s="332"/>
      <c r="B204" s="461"/>
      <c r="C204" s="686"/>
      <c r="H204" s="686"/>
      <c r="I204" s="686"/>
      <c r="J204" s="686"/>
      <c r="K204" s="686"/>
      <c r="L204" s="702" t="s">
        <v>257</v>
      </c>
      <c r="M204" s="703">
        <f ca="1">IF(VLOOKUP($L204,Data!$C:$H,1,TRUE)=$L204,VLOOKUP($L204,Data!$C:$H,6,TRUE),NA())</f>
        <v>0</v>
      </c>
      <c r="N204" s="466"/>
      <c r="O204" s="467"/>
      <c r="P204" s="297"/>
      <c r="Q204" s="297"/>
      <c r="R204" s="297"/>
      <c r="S204" s="297"/>
      <c r="T204" s="467"/>
    </row>
    <row r="205" spans="1:20" ht="14" customHeight="1" x14ac:dyDescent="0.25">
      <c r="A205" s="332"/>
      <c r="B205" s="461"/>
      <c r="C205" s="686"/>
      <c r="H205" s="686"/>
      <c r="I205" s="686"/>
      <c r="J205" s="686"/>
      <c r="K205" s="686"/>
      <c r="L205" s="702" t="s">
        <v>258</v>
      </c>
      <c r="M205" s="703">
        <f ca="1">IF(VLOOKUP($L205,Data!$C:$H,1,TRUE)=$L205,VLOOKUP($L205,Data!$C:$H,6,TRUE),NA())</f>
        <v>0</v>
      </c>
      <c r="N205" s="466"/>
      <c r="O205" s="467"/>
      <c r="P205" s="297"/>
      <c r="Q205" s="297"/>
      <c r="R205" s="297"/>
      <c r="S205" s="297"/>
      <c r="T205" s="467"/>
    </row>
    <row r="206" spans="1:20" ht="14" customHeight="1" x14ac:dyDescent="0.25">
      <c r="A206" s="332"/>
      <c r="B206" s="461"/>
      <c r="C206" s="686"/>
      <c r="H206" s="686"/>
      <c r="I206" s="686"/>
      <c r="J206" s="686"/>
      <c r="K206" s="686"/>
      <c r="L206" s="702" t="s">
        <v>259</v>
      </c>
      <c r="M206" s="703">
        <f ca="1">IF(VLOOKUP($L206,Data!$C:$H,1,TRUE)=$L206,VLOOKUP($L206,Data!$C:$H,6,TRUE),NA())</f>
        <v>0</v>
      </c>
      <c r="N206" s="466"/>
      <c r="O206" s="467"/>
      <c r="P206" s="297"/>
      <c r="Q206" s="297"/>
      <c r="R206" s="297"/>
      <c r="S206" s="297"/>
      <c r="T206" s="467"/>
    </row>
    <row r="207" spans="1:20" ht="14" customHeight="1" x14ac:dyDescent="0.25">
      <c r="A207" s="332"/>
      <c r="B207" s="461"/>
      <c r="C207" s="686"/>
      <c r="H207" s="686"/>
      <c r="I207" s="686"/>
      <c r="J207" s="686"/>
      <c r="K207" s="686"/>
      <c r="L207" s="702" t="s">
        <v>260</v>
      </c>
      <c r="M207" s="703">
        <f ca="1">IF(VLOOKUP($L207,Data!$C:$H,1,TRUE)=$L207,VLOOKUP($L207,Data!$C:$H,6,TRUE),NA())</f>
        <v>0</v>
      </c>
      <c r="N207" s="466"/>
      <c r="O207" s="467"/>
      <c r="P207" s="297"/>
      <c r="Q207" s="297"/>
      <c r="R207" s="297"/>
      <c r="S207" s="297"/>
      <c r="T207" s="467"/>
    </row>
    <row r="208" spans="1:20" ht="14" customHeight="1" x14ac:dyDescent="0.25">
      <c r="A208" s="332"/>
      <c r="B208" s="461"/>
      <c r="C208" s="686"/>
      <c r="H208" s="686"/>
      <c r="I208" s="686"/>
      <c r="J208" s="686"/>
      <c r="K208" s="686"/>
      <c r="L208" s="702" t="s">
        <v>261</v>
      </c>
      <c r="M208" s="703">
        <f ca="1">IF(VLOOKUP($L208,Data!$C:$H,1,TRUE)=$L208,VLOOKUP($L208,Data!$C:$H,6,TRUE),NA())</f>
        <v>0</v>
      </c>
      <c r="N208" s="466"/>
      <c r="O208" s="467"/>
      <c r="P208" s="297"/>
      <c r="Q208" s="297"/>
      <c r="R208" s="297"/>
      <c r="S208" s="297"/>
      <c r="T208" s="467"/>
    </row>
    <row r="209" spans="1:20" ht="14" customHeight="1" x14ac:dyDescent="0.25">
      <c r="A209" s="332"/>
      <c r="B209" s="461"/>
      <c r="C209" s="686"/>
      <c r="H209" s="686"/>
      <c r="I209" s="686"/>
      <c r="J209" s="686"/>
      <c r="K209" s="686"/>
      <c r="L209" s="702" t="s">
        <v>262</v>
      </c>
      <c r="M209" s="703">
        <f ca="1">IF(VLOOKUP($L209,Data!$C:$H,1,TRUE)=$L209,VLOOKUP($L209,Data!$C:$H,6,TRUE),NA())</f>
        <v>0</v>
      </c>
      <c r="N209" s="466"/>
      <c r="O209" s="467"/>
      <c r="P209" s="297"/>
      <c r="Q209" s="297"/>
      <c r="R209" s="297"/>
      <c r="S209" s="297"/>
      <c r="T209" s="467"/>
    </row>
    <row r="210" spans="1:20" ht="14" customHeight="1" x14ac:dyDescent="0.25">
      <c r="A210" s="332"/>
      <c r="B210" s="461"/>
      <c r="C210" s="686"/>
      <c r="H210" s="686"/>
      <c r="I210" s="686"/>
      <c r="J210" s="686"/>
      <c r="K210" s="686"/>
      <c r="L210" s="702" t="s">
        <v>263</v>
      </c>
      <c r="M210" s="703">
        <f ca="1">IF(VLOOKUP($L210,Data!$C:$H,1,TRUE)=$L210,VLOOKUP($L210,Data!$C:$H,6,TRUE),NA())</f>
        <v>0</v>
      </c>
      <c r="N210" s="466"/>
      <c r="O210" s="467"/>
      <c r="P210" s="297"/>
      <c r="Q210" s="297"/>
      <c r="R210" s="297"/>
      <c r="S210" s="297"/>
      <c r="T210" s="467"/>
    </row>
    <row r="211" spans="1:20" ht="14" customHeight="1" x14ac:dyDescent="0.25">
      <c r="A211" s="332"/>
      <c r="B211" s="461"/>
      <c r="C211" s="686"/>
      <c r="H211" s="686"/>
      <c r="I211" s="686"/>
      <c r="J211" s="686"/>
      <c r="K211" s="686"/>
      <c r="L211" s="702" t="s">
        <v>264</v>
      </c>
      <c r="M211" s="703">
        <f ca="1">IF(VLOOKUP($L211,Data!$C:$H,1,TRUE)=$L211,VLOOKUP($L211,Data!$C:$H,6,TRUE),NA())</f>
        <v>0</v>
      </c>
      <c r="N211" s="466"/>
      <c r="O211" s="467"/>
      <c r="P211" s="297"/>
      <c r="Q211" s="297"/>
      <c r="R211" s="297"/>
      <c r="S211" s="297"/>
      <c r="T211" s="467"/>
    </row>
    <row r="212" spans="1:20" ht="14" customHeight="1" x14ac:dyDescent="0.25">
      <c r="A212" s="332"/>
      <c r="B212" s="461"/>
      <c r="C212" s="686"/>
      <c r="H212" s="686"/>
      <c r="I212" s="686"/>
      <c r="J212" s="686"/>
      <c r="K212" s="686"/>
      <c r="L212" s="702" t="s">
        <v>265</v>
      </c>
      <c r="M212" s="703">
        <f ca="1">IF(VLOOKUP($L212,Data!$C:$H,1,TRUE)=$L212,VLOOKUP($L212,Data!$C:$H,6,TRUE),NA())</f>
        <v>0</v>
      </c>
      <c r="N212" s="466"/>
      <c r="O212" s="467"/>
      <c r="P212" s="297"/>
      <c r="Q212" s="297"/>
      <c r="R212" s="297"/>
      <c r="S212" s="297"/>
      <c r="T212" s="467"/>
    </row>
    <row r="213" spans="1:20" ht="14" customHeight="1" x14ac:dyDescent="0.25">
      <c r="A213" s="332"/>
      <c r="B213" s="461"/>
      <c r="C213" s="686"/>
      <c r="H213" s="686"/>
      <c r="I213" s="686"/>
      <c r="J213" s="686"/>
      <c r="K213" s="686"/>
      <c r="L213" s="702" t="s">
        <v>266</v>
      </c>
      <c r="M213" s="703">
        <f ca="1">IF(VLOOKUP($L213,Data!$C:$H,1,TRUE)=$L213,VLOOKUP($L213,Data!$C:$H,6,TRUE),NA())</f>
        <v>0</v>
      </c>
      <c r="N213" s="466"/>
      <c r="O213" s="467"/>
      <c r="P213" s="297"/>
      <c r="Q213" s="297"/>
      <c r="R213" s="297"/>
      <c r="S213" s="297"/>
      <c r="T213" s="467"/>
    </row>
    <row r="214" spans="1:20" ht="14" customHeight="1" x14ac:dyDescent="0.25">
      <c r="A214" s="332"/>
      <c r="B214" s="461"/>
      <c r="C214" s="686"/>
      <c r="H214" s="686"/>
      <c r="I214" s="686"/>
      <c r="J214" s="686"/>
      <c r="K214" s="686"/>
      <c r="L214" s="702" t="s">
        <v>267</v>
      </c>
      <c r="M214" s="703">
        <f ca="1">IF(VLOOKUP($L214,Data!$C:$H,1,TRUE)=$L214,VLOOKUP($L214,Data!$C:$H,6,TRUE),NA())</f>
        <v>0</v>
      </c>
      <c r="N214" s="466"/>
      <c r="O214" s="467"/>
      <c r="P214" s="297"/>
      <c r="Q214" s="297"/>
      <c r="R214" s="297"/>
      <c r="S214" s="297"/>
      <c r="T214" s="467"/>
    </row>
    <row r="215" spans="1:20" ht="14" customHeight="1" x14ac:dyDescent="0.25">
      <c r="A215" s="332"/>
      <c r="B215" s="461"/>
      <c r="C215" s="686"/>
      <c r="H215" s="686"/>
      <c r="I215" s="686"/>
      <c r="J215" s="686"/>
      <c r="K215" s="686"/>
      <c r="L215" s="702" t="s">
        <v>268</v>
      </c>
      <c r="M215" s="703">
        <f ca="1">IF(VLOOKUP($L215,Data!$C:$H,1,TRUE)=$L215,VLOOKUP($L215,Data!$C:$H,6,TRUE),NA())</f>
        <v>0</v>
      </c>
      <c r="N215" s="466"/>
      <c r="O215" s="467"/>
      <c r="P215" s="297"/>
      <c r="Q215" s="297"/>
      <c r="R215" s="297"/>
      <c r="S215" s="297"/>
      <c r="T215" s="467"/>
    </row>
    <row r="216" spans="1:20" ht="14" customHeight="1" x14ac:dyDescent="0.25">
      <c r="A216" s="332"/>
      <c r="B216" s="461"/>
      <c r="C216" s="686"/>
      <c r="H216" s="686"/>
      <c r="I216" s="686"/>
      <c r="J216" s="686"/>
      <c r="K216" s="686"/>
      <c r="L216" s="702" t="s">
        <v>269</v>
      </c>
      <c r="M216" s="703">
        <f ca="1">IF(VLOOKUP($L216,Data!$C:$H,1,TRUE)=$L216,VLOOKUP($L216,Data!$C:$H,6,TRUE),NA())</f>
        <v>0</v>
      </c>
      <c r="N216" s="466"/>
      <c r="O216" s="467"/>
      <c r="P216" s="297"/>
      <c r="Q216" s="297"/>
      <c r="R216" s="297"/>
      <c r="S216" s="297"/>
      <c r="T216" s="467"/>
    </row>
    <row r="217" spans="1:20" ht="14" customHeight="1" x14ac:dyDescent="0.25">
      <c r="A217" s="332"/>
      <c r="B217" s="461"/>
      <c r="C217" s="686"/>
      <c r="H217" s="686"/>
      <c r="I217" s="686"/>
      <c r="J217" s="686"/>
      <c r="K217" s="686"/>
      <c r="L217" s="702" t="s">
        <v>270</v>
      </c>
      <c r="M217" s="703">
        <f ca="1">IF(VLOOKUP($L217,Data!$C:$H,1,TRUE)=$L217,VLOOKUP($L217,Data!$C:$H,6,TRUE),NA())</f>
        <v>0</v>
      </c>
      <c r="N217" s="466"/>
      <c r="O217" s="467"/>
      <c r="P217" s="297"/>
      <c r="Q217" s="297"/>
      <c r="R217" s="297"/>
      <c r="S217" s="297"/>
      <c r="T217" s="467"/>
    </row>
    <row r="218" spans="1:20" ht="14" customHeight="1" x14ac:dyDescent="0.25">
      <c r="A218" s="332"/>
      <c r="B218" s="461"/>
      <c r="C218" s="686"/>
      <c r="H218" s="686"/>
      <c r="I218" s="686"/>
      <c r="J218" s="686"/>
      <c r="K218" s="686"/>
      <c r="L218" s="702" t="s">
        <v>271</v>
      </c>
      <c r="M218" s="703">
        <f ca="1">IF(VLOOKUP($L218,Data!$C:$H,1,TRUE)=$L218,VLOOKUP($L218,Data!$C:$H,6,TRUE),NA())</f>
        <v>0</v>
      </c>
      <c r="N218" s="466"/>
      <c r="O218" s="467"/>
      <c r="P218" s="297"/>
      <c r="Q218" s="297"/>
      <c r="R218" s="297"/>
      <c r="S218" s="297"/>
      <c r="T218" s="467"/>
    </row>
    <row r="219" spans="1:20" ht="14" customHeight="1" x14ac:dyDescent="0.25">
      <c r="A219" s="332"/>
      <c r="B219" s="461"/>
      <c r="C219" s="686"/>
      <c r="H219" s="686"/>
      <c r="I219" s="686"/>
      <c r="J219" s="686"/>
      <c r="K219" s="686"/>
      <c r="L219" s="702" t="s">
        <v>272</v>
      </c>
      <c r="M219" s="703">
        <f ca="1">IF(VLOOKUP($L219,Data!$C:$H,1,TRUE)=$L219,VLOOKUP($L219,Data!$C:$H,6,TRUE),NA())</f>
        <v>0</v>
      </c>
      <c r="N219" s="466"/>
      <c r="O219" s="467"/>
      <c r="P219" s="297"/>
      <c r="Q219" s="297"/>
      <c r="R219" s="297"/>
      <c r="S219" s="297"/>
      <c r="T219" s="467"/>
    </row>
    <row r="220" spans="1:20" ht="14" customHeight="1" x14ac:dyDescent="0.25">
      <c r="A220" s="332"/>
      <c r="B220" s="461"/>
      <c r="C220" s="686"/>
      <c r="H220" s="686"/>
      <c r="I220" s="686"/>
      <c r="J220" s="686"/>
      <c r="K220" s="686"/>
      <c r="L220" s="702" t="s">
        <v>273</v>
      </c>
      <c r="M220" s="703">
        <f ca="1">IF(VLOOKUP($L220,Data!$C:$H,1,TRUE)=$L220,VLOOKUP($L220,Data!$C:$H,6,TRUE),NA())</f>
        <v>0</v>
      </c>
      <c r="N220" s="466"/>
      <c r="O220" s="467"/>
      <c r="P220" s="297"/>
      <c r="Q220" s="297"/>
      <c r="R220" s="297"/>
      <c r="S220" s="297"/>
      <c r="T220" s="467"/>
    </row>
    <row r="221" spans="1:20" ht="14" customHeight="1" x14ac:dyDescent="0.25">
      <c r="A221" s="332"/>
      <c r="B221" s="461"/>
      <c r="C221" s="686"/>
      <c r="H221" s="686"/>
      <c r="I221" s="686"/>
      <c r="J221" s="686"/>
      <c r="K221" s="686"/>
      <c r="L221" s="702" t="s">
        <v>274</v>
      </c>
      <c r="M221" s="703">
        <f ca="1">IF(VLOOKUP($L221,Data!$C:$H,1,TRUE)=$L221,VLOOKUP($L221,Data!$C:$H,6,TRUE),NA())</f>
        <v>0</v>
      </c>
      <c r="N221" s="466"/>
      <c r="O221" s="467"/>
      <c r="P221" s="297"/>
      <c r="Q221" s="297"/>
      <c r="R221" s="297"/>
      <c r="S221" s="297"/>
      <c r="T221" s="467"/>
    </row>
    <row r="222" spans="1:20" ht="14" customHeight="1" x14ac:dyDescent="0.25">
      <c r="A222" s="332"/>
      <c r="B222" s="461"/>
      <c r="C222" s="686"/>
      <c r="H222" s="686"/>
      <c r="I222" s="686"/>
      <c r="J222" s="686"/>
      <c r="K222" s="686"/>
      <c r="L222" s="702" t="s">
        <v>275</v>
      </c>
      <c r="M222" s="703">
        <f ca="1">IF(VLOOKUP($L222,Data!$C:$H,1,TRUE)=$L222,VLOOKUP($L222,Data!$C:$H,6,TRUE),NA())</f>
        <v>0</v>
      </c>
      <c r="N222" s="466"/>
      <c r="O222" s="467"/>
      <c r="P222" s="297"/>
      <c r="Q222" s="297"/>
      <c r="R222" s="297"/>
      <c r="S222" s="297"/>
      <c r="T222" s="467"/>
    </row>
    <row r="223" spans="1:20" ht="14" customHeight="1" x14ac:dyDescent="0.25">
      <c r="A223" s="332"/>
      <c r="B223" s="461"/>
      <c r="C223" s="686"/>
      <c r="H223" s="686"/>
      <c r="I223" s="686"/>
      <c r="J223" s="686"/>
      <c r="K223" s="686"/>
      <c r="L223" s="702" t="s">
        <v>276</v>
      </c>
      <c r="M223" s="703">
        <f ca="1">IF(VLOOKUP($L223,Data!$C:$H,1,TRUE)=$L223,VLOOKUP($L223,Data!$C:$H,6,TRUE),NA())</f>
        <v>0</v>
      </c>
      <c r="N223" s="466"/>
      <c r="O223" s="467"/>
      <c r="P223" s="297"/>
      <c r="Q223" s="297"/>
      <c r="R223" s="297"/>
      <c r="S223" s="297"/>
      <c r="T223" s="467"/>
    </row>
    <row r="224" spans="1:20" ht="14" customHeight="1" x14ac:dyDescent="0.25">
      <c r="A224" s="332"/>
      <c r="B224" s="461"/>
      <c r="C224" s="686"/>
      <c r="H224" s="686"/>
      <c r="I224" s="686"/>
      <c r="J224" s="686"/>
      <c r="K224" s="686"/>
      <c r="L224" s="702" t="s">
        <v>277</v>
      </c>
      <c r="M224" s="703">
        <f ca="1">IF(VLOOKUP($L224,Data!$C:$H,1,TRUE)=$L224,VLOOKUP($L224,Data!$C:$H,6,TRUE),NA())</f>
        <v>0</v>
      </c>
      <c r="N224" s="466"/>
      <c r="O224" s="467"/>
      <c r="P224" s="297"/>
      <c r="Q224" s="297"/>
      <c r="R224" s="297"/>
      <c r="S224" s="297"/>
      <c r="T224" s="467"/>
    </row>
    <row r="225" spans="1:20" ht="14" customHeight="1" x14ac:dyDescent="0.25">
      <c r="A225" s="332"/>
      <c r="B225" s="461"/>
      <c r="C225" s="686"/>
      <c r="H225" s="686"/>
      <c r="I225" s="686"/>
      <c r="J225" s="686"/>
      <c r="K225" s="686"/>
      <c r="L225" s="702" t="s">
        <v>278</v>
      </c>
      <c r="M225" s="703">
        <f ca="1">IF(VLOOKUP($L225,Data!$C:$H,1,TRUE)=$L225,VLOOKUP($L225,Data!$C:$H,6,TRUE),NA())</f>
        <v>0</v>
      </c>
      <c r="N225" s="466"/>
      <c r="O225" s="467"/>
      <c r="P225" s="297"/>
      <c r="Q225" s="297"/>
      <c r="R225" s="297"/>
      <c r="S225" s="297"/>
      <c r="T225" s="467"/>
    </row>
    <row r="226" spans="1:20" ht="14" customHeight="1" x14ac:dyDescent="0.25">
      <c r="A226" s="332"/>
      <c r="B226" s="461"/>
      <c r="C226" s="686"/>
      <c r="H226" s="686"/>
      <c r="I226" s="686"/>
      <c r="J226" s="686"/>
      <c r="K226" s="686"/>
      <c r="L226" s="702" t="s">
        <v>279</v>
      </c>
      <c r="M226" s="703">
        <f ca="1">IF(VLOOKUP($L226,Data!$C:$H,1,TRUE)=$L226,VLOOKUP($L226,Data!$C:$H,6,TRUE),NA())</f>
        <v>0</v>
      </c>
      <c r="N226" s="466"/>
      <c r="O226" s="467"/>
      <c r="P226" s="297"/>
      <c r="Q226" s="297"/>
      <c r="R226" s="297"/>
      <c r="S226" s="297"/>
      <c r="T226" s="467"/>
    </row>
    <row r="227" spans="1:20" ht="14" customHeight="1" x14ac:dyDescent="0.25">
      <c r="A227" s="332"/>
      <c r="B227" s="461"/>
      <c r="C227" s="686"/>
      <c r="H227" s="686"/>
      <c r="I227" s="686"/>
      <c r="J227" s="686"/>
      <c r="K227" s="686"/>
      <c r="L227" s="702" t="s">
        <v>281</v>
      </c>
      <c r="M227" s="703">
        <f ca="1">IF(VLOOKUP($L227,Data!$C:$H,1,TRUE)=$L227,VLOOKUP($L227,Data!$C:$H,6,TRUE),NA())</f>
        <v>0</v>
      </c>
      <c r="N227" s="466"/>
      <c r="O227" s="467"/>
      <c r="P227" s="297"/>
      <c r="Q227" s="297"/>
      <c r="R227" s="297"/>
      <c r="S227" s="297"/>
      <c r="T227" s="467"/>
    </row>
    <row r="228" spans="1:20" ht="14" customHeight="1" x14ac:dyDescent="0.25">
      <c r="A228" s="332"/>
      <c r="B228" s="461"/>
      <c r="C228" s="686"/>
      <c r="H228" s="686"/>
      <c r="I228" s="686"/>
      <c r="J228" s="686"/>
      <c r="K228" s="686"/>
      <c r="L228" s="702" t="s">
        <v>283</v>
      </c>
      <c r="M228" s="703">
        <f ca="1">IF(VLOOKUP($L228,Data!$C:$H,1,TRUE)=$L228,VLOOKUP($L228,Data!$C:$H,6,TRUE),NA())</f>
        <v>0</v>
      </c>
      <c r="N228" s="466"/>
      <c r="O228" s="467"/>
      <c r="P228" s="297"/>
      <c r="Q228" s="297"/>
      <c r="R228" s="297"/>
      <c r="S228" s="297"/>
      <c r="T228" s="467"/>
    </row>
    <row r="229" spans="1:20" ht="14" customHeight="1" x14ac:dyDescent="0.25">
      <c r="A229" s="332"/>
      <c r="B229" s="461"/>
      <c r="C229" s="686"/>
      <c r="H229" s="686"/>
      <c r="I229" s="686"/>
      <c r="J229" s="686"/>
      <c r="K229" s="686"/>
      <c r="L229" s="702" t="s">
        <v>284</v>
      </c>
      <c r="M229" s="703">
        <f ca="1">IF(VLOOKUP($L229,Data!$C:$H,1,TRUE)=$L229,VLOOKUP($L229,Data!$C:$H,6,TRUE),NA())</f>
        <v>0</v>
      </c>
      <c r="N229" s="466"/>
      <c r="O229" s="467"/>
      <c r="P229" s="297"/>
      <c r="Q229" s="297"/>
      <c r="R229" s="297"/>
      <c r="S229" s="297"/>
      <c r="T229" s="467"/>
    </row>
    <row r="230" spans="1:20" ht="14" customHeight="1" x14ac:dyDescent="0.25">
      <c r="A230" s="332"/>
      <c r="B230" s="461"/>
      <c r="C230" s="686"/>
      <c r="H230" s="686"/>
      <c r="I230" s="686"/>
      <c r="J230" s="686"/>
      <c r="K230" s="686"/>
      <c r="L230" s="702" t="s">
        <v>285</v>
      </c>
      <c r="M230" s="703">
        <f ca="1">IF(VLOOKUP($L230,Data!$C:$H,1,TRUE)=$L230,VLOOKUP($L230,Data!$C:$H,6,TRUE),NA())</f>
        <v>0</v>
      </c>
      <c r="N230" s="466"/>
      <c r="O230" s="467"/>
      <c r="P230" s="297"/>
      <c r="Q230" s="297"/>
      <c r="R230" s="297"/>
      <c r="S230" s="297"/>
      <c r="T230" s="467"/>
    </row>
    <row r="231" spans="1:20" ht="14" customHeight="1" x14ac:dyDescent="0.25">
      <c r="A231" s="332"/>
      <c r="B231" s="461"/>
      <c r="C231" s="686"/>
      <c r="H231" s="686"/>
      <c r="I231" s="686"/>
      <c r="J231" s="686"/>
      <c r="K231" s="686"/>
      <c r="L231" s="702" t="s">
        <v>286</v>
      </c>
      <c r="M231" s="703">
        <f ca="1">IF(VLOOKUP($L231,Data!$C:$H,1,TRUE)=$L231,VLOOKUP($L231,Data!$C:$H,6,TRUE),NA())</f>
        <v>0</v>
      </c>
      <c r="N231" s="466"/>
      <c r="O231" s="467"/>
      <c r="P231" s="297"/>
      <c r="Q231" s="297"/>
      <c r="R231" s="297"/>
      <c r="S231" s="297"/>
      <c r="T231" s="467"/>
    </row>
    <row r="232" spans="1:20" ht="14" customHeight="1" x14ac:dyDescent="0.25">
      <c r="A232" s="332"/>
      <c r="B232" s="461"/>
      <c r="C232" s="686"/>
      <c r="H232" s="686"/>
      <c r="I232" s="686"/>
      <c r="J232" s="686"/>
      <c r="K232" s="686"/>
      <c r="L232" s="702" t="s">
        <v>287</v>
      </c>
      <c r="M232" s="703">
        <f ca="1">IF(VLOOKUP($L232,Data!$C:$H,1,TRUE)=$L232,VLOOKUP($L232,Data!$C:$H,6,TRUE),NA())</f>
        <v>0</v>
      </c>
      <c r="N232" s="466"/>
      <c r="O232" s="467"/>
      <c r="P232" s="297"/>
      <c r="Q232" s="297"/>
      <c r="R232" s="297"/>
      <c r="S232" s="297"/>
      <c r="T232" s="467"/>
    </row>
    <row r="233" spans="1:20" ht="14" customHeight="1" x14ac:dyDescent="0.25">
      <c r="A233" s="332"/>
      <c r="B233" s="461"/>
      <c r="C233" s="686"/>
      <c r="H233" s="686"/>
      <c r="I233" s="686"/>
      <c r="J233" s="686"/>
      <c r="K233" s="686"/>
      <c r="L233" s="702" t="s">
        <v>288</v>
      </c>
      <c r="M233" s="703">
        <f ca="1">IF(VLOOKUP($L233,Data!$C:$H,1,TRUE)=$L233,VLOOKUP($L233,Data!$C:$H,6,TRUE),NA())</f>
        <v>0</v>
      </c>
      <c r="N233" s="466"/>
      <c r="O233" s="467"/>
      <c r="P233" s="297"/>
      <c r="Q233" s="297"/>
      <c r="R233" s="297"/>
      <c r="S233" s="297"/>
      <c r="T233" s="467"/>
    </row>
    <row r="234" spans="1:20" ht="14" customHeight="1" x14ac:dyDescent="0.25">
      <c r="A234" s="332"/>
      <c r="B234" s="461"/>
      <c r="C234" s="686"/>
      <c r="H234" s="686"/>
      <c r="I234" s="686"/>
      <c r="J234" s="686"/>
      <c r="K234" s="686"/>
      <c r="L234" s="702" t="s">
        <v>289</v>
      </c>
      <c r="M234" s="703">
        <f ca="1">IF(VLOOKUP($L234,Data!$C:$H,1,TRUE)=$L234,VLOOKUP($L234,Data!$C:$H,6,TRUE),NA())</f>
        <v>0</v>
      </c>
      <c r="N234" s="466"/>
      <c r="O234" s="467"/>
      <c r="P234" s="297"/>
      <c r="Q234" s="297"/>
      <c r="R234" s="297"/>
      <c r="S234" s="297"/>
      <c r="T234" s="467"/>
    </row>
    <row r="235" spans="1:20" ht="14" customHeight="1" x14ac:dyDescent="0.25">
      <c r="A235" s="332"/>
      <c r="B235" s="461"/>
      <c r="C235" s="686"/>
      <c r="H235" s="686"/>
      <c r="I235" s="686"/>
      <c r="J235" s="686"/>
      <c r="K235" s="686"/>
      <c r="L235" s="702" t="s">
        <v>290</v>
      </c>
      <c r="M235" s="703">
        <f ca="1">IF(VLOOKUP($L235,Data!$C:$H,1,TRUE)=$L235,VLOOKUP($L235,Data!$C:$H,6,TRUE),NA())</f>
        <v>0</v>
      </c>
      <c r="N235" s="466"/>
      <c r="O235" s="467"/>
      <c r="P235" s="297"/>
      <c r="Q235" s="297"/>
      <c r="R235" s="297"/>
      <c r="S235" s="297"/>
      <c r="T235" s="467"/>
    </row>
    <row r="236" spans="1:20" ht="14" customHeight="1" x14ac:dyDescent="0.25">
      <c r="A236" s="332"/>
      <c r="B236" s="461"/>
      <c r="C236" s="686"/>
      <c r="H236" s="686"/>
      <c r="I236" s="686"/>
      <c r="J236" s="686"/>
      <c r="K236" s="686"/>
      <c r="L236" s="702" t="s">
        <v>291</v>
      </c>
      <c r="M236" s="703">
        <f ca="1">IF(VLOOKUP($L236,Data!$C:$H,1,TRUE)=$L236,VLOOKUP($L236,Data!$C:$H,6,TRUE),NA())</f>
        <v>0</v>
      </c>
      <c r="N236" s="466"/>
      <c r="O236" s="467"/>
      <c r="P236" s="297"/>
      <c r="Q236" s="297"/>
      <c r="R236" s="297"/>
      <c r="S236" s="297"/>
      <c r="T236" s="467"/>
    </row>
    <row r="237" spans="1:20" ht="14" customHeight="1" x14ac:dyDescent="0.25">
      <c r="A237" s="332"/>
      <c r="B237" s="461"/>
      <c r="C237" s="686"/>
      <c r="H237" s="686"/>
      <c r="I237" s="686"/>
      <c r="J237" s="686"/>
      <c r="K237" s="686"/>
      <c r="L237" s="702" t="s">
        <v>292</v>
      </c>
      <c r="M237" s="703">
        <f ca="1">IF(VLOOKUP($L237,Data!$C:$H,1,TRUE)=$L237,VLOOKUP($L237,Data!$C:$H,6,TRUE),NA())</f>
        <v>0</v>
      </c>
      <c r="N237" s="466"/>
      <c r="O237" s="467"/>
      <c r="P237" s="297"/>
      <c r="Q237" s="297"/>
      <c r="R237" s="297"/>
      <c r="S237" s="297"/>
      <c r="T237" s="467"/>
    </row>
    <row r="238" spans="1:20" ht="14" customHeight="1" x14ac:dyDescent="0.25">
      <c r="A238" s="332"/>
      <c r="B238" s="461"/>
      <c r="C238" s="686"/>
      <c r="H238" s="686"/>
      <c r="I238" s="686"/>
      <c r="J238" s="686"/>
      <c r="K238" s="686"/>
      <c r="L238" s="702" t="s">
        <v>293</v>
      </c>
      <c r="M238" s="703">
        <f ca="1">IF(VLOOKUP($L238,Data!$C:$H,1,TRUE)=$L238,VLOOKUP($L238,Data!$C:$H,6,TRUE),NA())</f>
        <v>0</v>
      </c>
      <c r="N238" s="466"/>
      <c r="O238" s="467"/>
      <c r="P238" s="297"/>
      <c r="Q238" s="297"/>
      <c r="R238" s="297"/>
      <c r="S238" s="297"/>
      <c r="T238" s="467"/>
    </row>
    <row r="239" spans="1:20" ht="14" customHeight="1" x14ac:dyDescent="0.25">
      <c r="A239" s="332"/>
      <c r="B239" s="461"/>
      <c r="C239" s="686"/>
      <c r="H239" s="686"/>
      <c r="I239" s="686"/>
      <c r="J239" s="686"/>
      <c r="K239" s="686"/>
      <c r="L239" s="702" t="s">
        <v>294</v>
      </c>
      <c r="M239" s="703">
        <f ca="1">IF(VLOOKUP($L239,Data!$C:$H,1,TRUE)=$L239,VLOOKUP($L239,Data!$C:$H,6,TRUE),NA())</f>
        <v>0</v>
      </c>
      <c r="N239" s="466"/>
      <c r="O239" s="467"/>
      <c r="P239" s="297"/>
      <c r="Q239" s="297"/>
      <c r="R239" s="297"/>
      <c r="S239" s="297"/>
      <c r="T239" s="467"/>
    </row>
    <row r="240" spans="1:20" ht="14" customHeight="1" x14ac:dyDescent="0.25">
      <c r="A240" s="332"/>
      <c r="B240" s="461"/>
      <c r="C240" s="686"/>
      <c r="H240" s="686"/>
      <c r="I240" s="686"/>
      <c r="J240" s="686"/>
      <c r="K240" s="686"/>
      <c r="L240" s="702" t="s">
        <v>295</v>
      </c>
      <c r="M240" s="703">
        <f ca="1">IF(VLOOKUP($L240,Data!$C:$H,1,TRUE)=$L240,VLOOKUP($L240,Data!$C:$H,6,TRUE),NA())</f>
        <v>0</v>
      </c>
      <c r="N240" s="466"/>
      <c r="O240" s="467"/>
      <c r="P240" s="297"/>
      <c r="Q240" s="297"/>
      <c r="R240" s="297"/>
      <c r="S240" s="297"/>
      <c r="T240" s="467"/>
    </row>
    <row r="241" spans="1:20" ht="14" customHeight="1" x14ac:dyDescent="0.25">
      <c r="A241" s="332"/>
      <c r="B241" s="461"/>
      <c r="C241" s="686"/>
      <c r="H241" s="686"/>
      <c r="I241" s="686"/>
      <c r="J241" s="686"/>
      <c r="K241" s="686"/>
      <c r="L241" s="702" t="s">
        <v>296</v>
      </c>
      <c r="M241" s="703">
        <f ca="1">IF(VLOOKUP($L241,Data!$C:$H,1,TRUE)=$L241,VLOOKUP($L241,Data!$C:$H,6,TRUE),NA())</f>
        <v>0</v>
      </c>
      <c r="N241" s="466"/>
      <c r="O241" s="467"/>
      <c r="P241" s="297"/>
      <c r="Q241" s="297"/>
      <c r="R241" s="297"/>
      <c r="S241" s="297"/>
      <c r="T241" s="467"/>
    </row>
    <row r="242" spans="1:20" ht="14" customHeight="1" x14ac:dyDescent="0.25">
      <c r="A242" s="332"/>
      <c r="B242" s="461"/>
      <c r="C242" s="686"/>
      <c r="H242" s="686"/>
      <c r="I242" s="686"/>
      <c r="J242" s="686"/>
      <c r="K242" s="686"/>
      <c r="L242" s="702" t="s">
        <v>297</v>
      </c>
      <c r="M242" s="703">
        <f ca="1">IF(VLOOKUP($L242,Data!$C:$H,1,TRUE)=$L242,VLOOKUP($L242,Data!$C:$H,6,TRUE),NA())</f>
        <v>0</v>
      </c>
      <c r="N242" s="466"/>
      <c r="O242" s="467"/>
      <c r="P242" s="297"/>
      <c r="Q242" s="297"/>
      <c r="R242" s="297"/>
      <c r="S242" s="297"/>
      <c r="T242" s="467"/>
    </row>
    <row r="243" spans="1:20" ht="14" customHeight="1" x14ac:dyDescent="0.25">
      <c r="A243" s="332"/>
      <c r="B243" s="461"/>
      <c r="C243" s="686"/>
      <c r="H243" s="686"/>
      <c r="I243" s="686"/>
      <c r="J243" s="686"/>
      <c r="K243" s="686"/>
      <c r="L243" s="702" t="s">
        <v>298</v>
      </c>
      <c r="M243" s="703">
        <f ca="1">IF(VLOOKUP($L243,Data!$C:$H,1,TRUE)=$L243,VLOOKUP($L243,Data!$C:$H,6,TRUE),NA())</f>
        <v>0</v>
      </c>
      <c r="N243" s="466"/>
      <c r="O243" s="467"/>
      <c r="P243" s="297"/>
      <c r="Q243" s="297"/>
      <c r="R243" s="297"/>
      <c r="S243" s="297"/>
      <c r="T243" s="467"/>
    </row>
    <row r="244" spans="1:20" ht="14" customHeight="1" x14ac:dyDescent="0.25">
      <c r="A244" s="332"/>
      <c r="B244" s="461"/>
      <c r="C244" s="686"/>
      <c r="H244" s="686"/>
      <c r="I244" s="686"/>
      <c r="J244" s="686"/>
      <c r="K244" s="686"/>
      <c r="L244" s="702" t="s">
        <v>299</v>
      </c>
      <c r="M244" s="703">
        <f ca="1">IF(VLOOKUP($L244,Data!$C:$H,1,TRUE)=$L244,VLOOKUP($L244,Data!$C:$H,6,TRUE),NA())</f>
        <v>0</v>
      </c>
      <c r="N244" s="466"/>
      <c r="O244" s="467"/>
      <c r="P244" s="297"/>
      <c r="Q244" s="297"/>
      <c r="R244" s="297"/>
      <c r="S244" s="297"/>
      <c r="T244" s="467"/>
    </row>
    <row r="245" spans="1:20" ht="14" customHeight="1" x14ac:dyDescent="0.25">
      <c r="A245" s="332"/>
      <c r="B245" s="461"/>
      <c r="C245" s="686"/>
      <c r="H245" s="686"/>
      <c r="I245" s="686"/>
      <c r="J245" s="686"/>
      <c r="K245" s="686"/>
      <c r="L245" s="702" t="s">
        <v>300</v>
      </c>
      <c r="M245" s="703">
        <f ca="1">IF(VLOOKUP($L245,Data!$C:$H,1,TRUE)=$L245,VLOOKUP($L245,Data!$C:$H,6,TRUE),NA())</f>
        <v>0</v>
      </c>
      <c r="N245" s="466"/>
      <c r="O245" s="467"/>
      <c r="P245" s="297"/>
      <c r="Q245" s="297"/>
      <c r="R245" s="297"/>
      <c r="S245" s="297"/>
      <c r="T245" s="467"/>
    </row>
    <row r="246" spans="1:20" ht="14" customHeight="1" x14ac:dyDescent="0.25">
      <c r="A246" s="332"/>
      <c r="B246" s="461"/>
      <c r="C246" s="686"/>
      <c r="H246" s="686"/>
      <c r="I246" s="686"/>
      <c r="J246" s="686"/>
      <c r="K246" s="686"/>
      <c r="L246" s="702" t="s">
        <v>301</v>
      </c>
      <c r="M246" s="703">
        <f ca="1">IF(VLOOKUP($L246,Data!$C:$H,1,TRUE)=$L246,VLOOKUP($L246,Data!$C:$H,6,TRUE),NA())</f>
        <v>0</v>
      </c>
      <c r="N246" s="466"/>
      <c r="O246" s="467"/>
      <c r="P246" s="297"/>
      <c r="Q246" s="297"/>
      <c r="R246" s="297"/>
      <c r="S246" s="297"/>
      <c r="T246" s="467"/>
    </row>
    <row r="247" spans="1:20" ht="14" customHeight="1" x14ac:dyDescent="0.25">
      <c r="A247" s="332"/>
      <c r="B247" s="461"/>
      <c r="C247" s="686"/>
      <c r="H247" s="686"/>
      <c r="I247" s="686"/>
      <c r="J247" s="686"/>
      <c r="K247" s="686"/>
      <c r="L247" s="702" t="s">
        <v>302</v>
      </c>
      <c r="M247" s="703">
        <f ca="1">IF(VLOOKUP($L247,Data!$C:$H,1,TRUE)=$L247,VLOOKUP($L247,Data!$C:$H,6,TRUE),NA())</f>
        <v>0</v>
      </c>
      <c r="N247" s="466"/>
      <c r="O247" s="467"/>
      <c r="P247" s="297"/>
      <c r="Q247" s="297"/>
      <c r="R247" s="297"/>
      <c r="S247" s="297"/>
      <c r="T247" s="467"/>
    </row>
    <row r="248" spans="1:20" ht="14" customHeight="1" x14ac:dyDescent="0.25">
      <c r="A248" s="332"/>
      <c r="B248" s="461"/>
      <c r="C248" s="686"/>
      <c r="H248" s="686"/>
      <c r="I248" s="686"/>
      <c r="J248" s="686"/>
      <c r="K248" s="686"/>
      <c r="L248" s="702" t="s">
        <v>303</v>
      </c>
      <c r="M248" s="703">
        <f ca="1">IF(VLOOKUP($L248,Data!$C:$H,1,TRUE)=$L248,VLOOKUP($L248,Data!$C:$H,6,TRUE),NA())</f>
        <v>0</v>
      </c>
      <c r="N248" s="466"/>
      <c r="O248" s="467"/>
      <c r="P248" s="297"/>
      <c r="Q248" s="297"/>
      <c r="R248" s="297"/>
      <c r="S248" s="297"/>
      <c r="T248" s="467"/>
    </row>
    <row r="249" spans="1:20" ht="14" customHeight="1" x14ac:dyDescent="0.25">
      <c r="A249" s="332"/>
      <c r="B249" s="461"/>
      <c r="C249" s="686"/>
      <c r="H249" s="686"/>
      <c r="I249" s="686"/>
      <c r="J249" s="686"/>
      <c r="K249" s="686"/>
      <c r="L249" s="702" t="s">
        <v>304</v>
      </c>
      <c r="M249" s="703">
        <f ca="1">IF(VLOOKUP($L249,Data!$C:$H,1,TRUE)=$L249,VLOOKUP($L249,Data!$C:$H,6,TRUE),NA())</f>
        <v>0</v>
      </c>
      <c r="N249" s="466"/>
      <c r="O249" s="467"/>
      <c r="P249" s="297"/>
      <c r="Q249" s="297"/>
      <c r="R249" s="297"/>
      <c r="S249" s="297"/>
      <c r="T249" s="467"/>
    </row>
    <row r="250" spans="1:20" ht="14" customHeight="1" x14ac:dyDescent="0.25">
      <c r="A250" s="332"/>
      <c r="B250" s="461"/>
      <c r="C250" s="686"/>
      <c r="H250" s="686"/>
      <c r="I250" s="686"/>
      <c r="J250" s="686"/>
      <c r="K250" s="686"/>
      <c r="L250" s="702" t="s">
        <v>305</v>
      </c>
      <c r="M250" s="703">
        <f ca="1">IF(VLOOKUP($L250,Data!$C:$H,1,TRUE)=$L250,VLOOKUP($L250,Data!$C:$H,6,TRUE),NA())</f>
        <v>0</v>
      </c>
      <c r="N250" s="466"/>
      <c r="O250" s="467"/>
      <c r="P250" s="297"/>
      <c r="Q250" s="297"/>
      <c r="R250" s="297"/>
      <c r="S250" s="297"/>
      <c r="T250" s="467"/>
    </row>
    <row r="251" spans="1:20" ht="14" customHeight="1" x14ac:dyDescent="0.25">
      <c r="A251" s="332"/>
      <c r="B251" s="461"/>
      <c r="C251" s="686"/>
      <c r="H251" s="686"/>
      <c r="I251" s="686"/>
      <c r="J251" s="686"/>
      <c r="K251" s="686"/>
      <c r="L251" s="702" t="s">
        <v>306</v>
      </c>
      <c r="M251" s="703">
        <f ca="1">IF(VLOOKUP($L251,Data!$C:$H,1,TRUE)=$L251,VLOOKUP($L251,Data!$C:$H,6,TRUE),NA())</f>
        <v>0</v>
      </c>
      <c r="N251" s="466"/>
      <c r="O251" s="467"/>
      <c r="P251" s="297"/>
      <c r="Q251" s="297"/>
      <c r="R251" s="297"/>
      <c r="S251" s="297"/>
      <c r="T251" s="467"/>
    </row>
    <row r="252" spans="1:20" ht="14" customHeight="1" x14ac:dyDescent="0.25">
      <c r="A252" s="332"/>
      <c r="B252" s="461"/>
      <c r="C252" s="686"/>
      <c r="H252" s="686"/>
      <c r="I252" s="686"/>
      <c r="J252" s="686"/>
      <c r="K252" s="686"/>
      <c r="L252" s="702" t="s">
        <v>307</v>
      </c>
      <c r="M252" s="703">
        <f ca="1">IF(VLOOKUP($L252,Data!$C:$H,1,TRUE)=$L252,VLOOKUP($L252,Data!$C:$H,6,TRUE),NA())</f>
        <v>0</v>
      </c>
      <c r="N252" s="466"/>
      <c r="O252" s="467"/>
      <c r="P252" s="297"/>
      <c r="Q252" s="297"/>
      <c r="R252" s="297"/>
      <c r="S252" s="297"/>
      <c r="T252" s="467"/>
    </row>
    <row r="253" spans="1:20" ht="14" customHeight="1" x14ac:dyDescent="0.25">
      <c r="A253" s="332"/>
      <c r="B253" s="461"/>
      <c r="C253" s="686"/>
      <c r="H253" s="686"/>
      <c r="I253" s="686"/>
      <c r="J253" s="686"/>
      <c r="K253" s="686"/>
      <c r="L253" s="702" t="s">
        <v>308</v>
      </c>
      <c r="M253" s="703">
        <f ca="1">IF(VLOOKUP($L253,Data!$C:$H,1,TRUE)=$L253,VLOOKUP($L253,Data!$C:$H,6,TRUE),NA())</f>
        <v>0</v>
      </c>
      <c r="N253" s="466"/>
      <c r="O253" s="467"/>
      <c r="P253" s="297"/>
      <c r="Q253" s="297"/>
      <c r="R253" s="297"/>
      <c r="S253" s="297"/>
      <c r="T253" s="467"/>
    </row>
    <row r="254" spans="1:20" ht="14" customHeight="1" x14ac:dyDescent="0.25">
      <c r="A254" s="332"/>
      <c r="B254" s="461"/>
      <c r="C254" s="686"/>
      <c r="H254" s="686"/>
      <c r="I254" s="686"/>
      <c r="J254" s="686"/>
      <c r="K254" s="686"/>
      <c r="L254" s="702" t="s">
        <v>309</v>
      </c>
      <c r="M254" s="703">
        <f ca="1">IF(VLOOKUP($L254,Data!$C:$H,1,TRUE)=$L254,VLOOKUP($L254,Data!$C:$H,6,TRUE),NA())</f>
        <v>0</v>
      </c>
      <c r="N254" s="466"/>
      <c r="O254" s="467"/>
      <c r="P254" s="297"/>
      <c r="Q254" s="297"/>
      <c r="R254" s="297"/>
      <c r="S254" s="297"/>
      <c r="T254" s="467"/>
    </row>
    <row r="255" spans="1:20" ht="14" customHeight="1" x14ac:dyDescent="0.25">
      <c r="A255" s="332"/>
      <c r="B255" s="461"/>
      <c r="C255" s="686"/>
      <c r="H255" s="686"/>
      <c r="I255" s="686"/>
      <c r="J255" s="686"/>
      <c r="K255" s="686"/>
      <c r="L255" s="702" t="s">
        <v>310</v>
      </c>
      <c r="M255" s="703">
        <f ca="1">IF(VLOOKUP($L255,Data!$C:$H,1,TRUE)=$L255,VLOOKUP($L255,Data!$C:$H,6,TRUE),NA())</f>
        <v>0</v>
      </c>
      <c r="N255" s="466"/>
      <c r="O255" s="467"/>
      <c r="P255" s="297"/>
      <c r="Q255" s="297"/>
      <c r="R255" s="297"/>
      <c r="S255" s="297"/>
      <c r="T255" s="467"/>
    </row>
    <row r="256" spans="1:20" ht="14" customHeight="1" x14ac:dyDescent="0.25">
      <c r="A256" s="332"/>
      <c r="B256" s="461"/>
      <c r="C256" s="686"/>
      <c r="H256" s="686"/>
      <c r="I256" s="686"/>
      <c r="J256" s="686"/>
      <c r="K256" s="686"/>
      <c r="L256" s="702" t="s">
        <v>312</v>
      </c>
      <c r="M256" s="703">
        <f ca="1">IF(VLOOKUP($L256,Data!$C:$H,1,TRUE)=$L256,VLOOKUP($L256,Data!$C:$H,6,TRUE),NA())</f>
        <v>0</v>
      </c>
      <c r="N256" s="466"/>
      <c r="O256" s="467"/>
      <c r="P256" s="297"/>
      <c r="Q256" s="297"/>
      <c r="R256" s="297"/>
      <c r="S256" s="297"/>
      <c r="T256" s="467"/>
    </row>
    <row r="257" spans="1:20" ht="14" customHeight="1" x14ac:dyDescent="0.25">
      <c r="A257" s="332"/>
      <c r="B257" s="461"/>
      <c r="C257" s="686"/>
      <c r="H257" s="686"/>
      <c r="I257" s="686"/>
      <c r="J257" s="686"/>
      <c r="K257" s="686"/>
      <c r="L257" s="702" t="s">
        <v>313</v>
      </c>
      <c r="M257" s="703">
        <f ca="1">IF(VLOOKUP($L257,Data!$C:$H,1,TRUE)=$L257,VLOOKUP($L257,Data!$C:$H,6,TRUE),NA())</f>
        <v>0</v>
      </c>
      <c r="N257" s="466"/>
      <c r="O257" s="467"/>
      <c r="P257" s="297"/>
      <c r="Q257" s="297"/>
      <c r="R257" s="297"/>
      <c r="S257" s="297"/>
      <c r="T257" s="467"/>
    </row>
    <row r="258" spans="1:20" ht="14" customHeight="1" x14ac:dyDescent="0.25">
      <c r="A258" s="332"/>
      <c r="B258" s="461"/>
      <c r="C258" s="686"/>
      <c r="H258" s="686"/>
      <c r="I258" s="686"/>
      <c r="J258" s="686"/>
      <c r="K258" s="686"/>
      <c r="L258" s="702" t="s">
        <v>314</v>
      </c>
      <c r="M258" s="703">
        <f ca="1">IF(VLOOKUP($L258,Data!$C:$H,1,TRUE)=$L258,VLOOKUP($L258,Data!$C:$H,6,TRUE),NA())</f>
        <v>0</v>
      </c>
      <c r="N258" s="466"/>
      <c r="O258" s="467"/>
      <c r="P258" s="297"/>
      <c r="Q258" s="297"/>
      <c r="R258" s="297"/>
      <c r="S258" s="297"/>
      <c r="T258" s="467"/>
    </row>
    <row r="259" spans="1:20" ht="14" customHeight="1" x14ac:dyDescent="0.25">
      <c r="A259" s="332"/>
      <c r="B259" s="461"/>
      <c r="C259" s="686"/>
      <c r="H259" s="686"/>
      <c r="I259" s="686"/>
      <c r="J259" s="686"/>
      <c r="K259" s="686"/>
      <c r="L259" s="702" t="s">
        <v>315</v>
      </c>
      <c r="M259" s="703">
        <f ca="1">IF(VLOOKUP($L259,Data!$C:$H,1,TRUE)=$L259,VLOOKUP($L259,Data!$C:$H,6,TRUE),NA())</f>
        <v>0</v>
      </c>
      <c r="N259" s="466"/>
      <c r="O259" s="467"/>
      <c r="P259" s="297"/>
      <c r="Q259" s="297"/>
      <c r="R259" s="297"/>
      <c r="S259" s="297"/>
      <c r="T259" s="467"/>
    </row>
    <row r="260" spans="1:20" ht="14" customHeight="1" x14ac:dyDescent="0.25">
      <c r="A260" s="332"/>
      <c r="B260" s="461"/>
      <c r="C260" s="686"/>
      <c r="H260" s="686"/>
      <c r="I260" s="686"/>
      <c r="J260" s="686"/>
      <c r="K260" s="686"/>
      <c r="L260" s="702" t="s">
        <v>316</v>
      </c>
      <c r="M260" s="703">
        <f ca="1">IF(VLOOKUP($L260,Data!$C:$H,1,TRUE)=$L260,VLOOKUP($L260,Data!$C:$H,6,TRUE),NA())</f>
        <v>0</v>
      </c>
      <c r="N260" s="466"/>
      <c r="O260" s="467"/>
      <c r="P260" s="297"/>
      <c r="Q260" s="297"/>
      <c r="R260" s="297"/>
      <c r="S260" s="297"/>
      <c r="T260" s="467"/>
    </row>
    <row r="261" spans="1:20" ht="14" customHeight="1" x14ac:dyDescent="0.25">
      <c r="A261" s="332"/>
      <c r="B261" s="461"/>
      <c r="C261" s="686"/>
      <c r="H261" s="686"/>
      <c r="I261" s="686"/>
      <c r="J261" s="686"/>
      <c r="K261" s="686"/>
      <c r="L261" s="702" t="s">
        <v>317</v>
      </c>
      <c r="M261" s="703">
        <f ca="1">IF(VLOOKUP($L261,Data!$C:$H,1,TRUE)=$L261,VLOOKUP($L261,Data!$C:$H,6,TRUE),NA())</f>
        <v>0</v>
      </c>
      <c r="N261" s="466"/>
      <c r="O261" s="467"/>
      <c r="P261" s="297"/>
      <c r="Q261" s="297"/>
      <c r="R261" s="297"/>
      <c r="S261" s="297"/>
      <c r="T261" s="467"/>
    </row>
    <row r="262" spans="1:20" ht="14" customHeight="1" x14ac:dyDescent="0.25">
      <c r="A262" s="332"/>
      <c r="B262" s="461"/>
      <c r="C262" s="686"/>
      <c r="H262" s="686"/>
      <c r="I262" s="686"/>
      <c r="J262" s="686"/>
      <c r="K262" s="686"/>
      <c r="L262" s="702" t="s">
        <v>318</v>
      </c>
      <c r="M262" s="703">
        <f ca="1">IF(VLOOKUP($L262,Data!$C:$H,1,TRUE)=$L262,VLOOKUP($L262,Data!$C:$H,6,TRUE),NA())</f>
        <v>0</v>
      </c>
      <c r="N262" s="466"/>
      <c r="O262" s="467"/>
      <c r="P262" s="297"/>
      <c r="Q262" s="297"/>
      <c r="R262" s="297"/>
      <c r="S262" s="297"/>
      <c r="T262" s="467"/>
    </row>
    <row r="263" spans="1:20" ht="14" customHeight="1" x14ac:dyDescent="0.25">
      <c r="A263" s="332"/>
      <c r="B263" s="461"/>
      <c r="C263" s="686"/>
      <c r="H263" s="686"/>
      <c r="I263" s="686"/>
      <c r="J263" s="686"/>
      <c r="K263" s="686"/>
      <c r="L263" s="702" t="s">
        <v>319</v>
      </c>
      <c r="M263" s="703">
        <f ca="1">IF(VLOOKUP($L263,Data!$C:$H,1,TRUE)=$L263,VLOOKUP($L263,Data!$C:$H,6,TRUE),NA())</f>
        <v>0</v>
      </c>
      <c r="N263" s="466"/>
      <c r="O263" s="467"/>
      <c r="P263" s="297"/>
      <c r="Q263" s="297"/>
      <c r="R263" s="297"/>
      <c r="S263" s="297"/>
      <c r="T263" s="467"/>
    </row>
    <row r="264" spans="1:20" ht="14" customHeight="1" x14ac:dyDescent="0.25">
      <c r="A264" s="332"/>
      <c r="B264" s="461"/>
      <c r="C264" s="686"/>
      <c r="H264" s="686"/>
      <c r="I264" s="686"/>
      <c r="J264" s="686"/>
      <c r="K264" s="686"/>
      <c r="L264" s="702" t="s">
        <v>320</v>
      </c>
      <c r="M264" s="703">
        <f ca="1">IF(VLOOKUP($L264,Data!$C:$H,1,TRUE)=$L264,VLOOKUP($L264,Data!$C:$H,6,TRUE),NA())</f>
        <v>0</v>
      </c>
      <c r="N264" s="466"/>
      <c r="O264" s="467"/>
      <c r="P264" s="297"/>
      <c r="Q264" s="297"/>
      <c r="R264" s="297"/>
      <c r="S264" s="297"/>
      <c r="T264" s="467"/>
    </row>
    <row r="265" spans="1:20" ht="14" customHeight="1" x14ac:dyDescent="0.25">
      <c r="A265" s="332"/>
      <c r="B265" s="461"/>
      <c r="C265" s="686"/>
      <c r="H265" s="686"/>
      <c r="I265" s="686"/>
      <c r="J265" s="686"/>
      <c r="K265" s="686"/>
      <c r="L265" s="702" t="s">
        <v>321</v>
      </c>
      <c r="M265" s="703">
        <f ca="1">IF(VLOOKUP($L265,Data!$C:$H,1,TRUE)=$L265,VLOOKUP($L265,Data!$C:$H,6,TRUE),NA())</f>
        <v>0</v>
      </c>
      <c r="N265" s="466"/>
      <c r="O265" s="467"/>
      <c r="P265" s="297"/>
      <c r="Q265" s="297"/>
      <c r="R265" s="297"/>
      <c r="S265" s="297"/>
      <c r="T265" s="467"/>
    </row>
    <row r="266" spans="1:20" ht="14" customHeight="1" x14ac:dyDescent="0.25">
      <c r="A266" s="332"/>
      <c r="B266" s="461"/>
      <c r="C266" s="686"/>
      <c r="H266" s="686"/>
      <c r="I266" s="686"/>
      <c r="J266" s="686"/>
      <c r="K266" s="686"/>
      <c r="L266" s="702" t="s">
        <v>322</v>
      </c>
      <c r="M266" s="703">
        <f ca="1">IF(VLOOKUP($L266,Data!$C:$H,1,TRUE)=$L266,VLOOKUP($L266,Data!$C:$H,6,TRUE),NA())</f>
        <v>0</v>
      </c>
      <c r="N266" s="466"/>
      <c r="O266" s="467"/>
      <c r="P266" s="297"/>
      <c r="Q266" s="297"/>
      <c r="R266" s="297"/>
      <c r="S266" s="297"/>
      <c r="T266" s="467"/>
    </row>
    <row r="267" spans="1:20" ht="14" customHeight="1" x14ac:dyDescent="0.25">
      <c r="A267" s="332"/>
      <c r="B267" s="461"/>
      <c r="C267" s="686"/>
      <c r="H267" s="686"/>
      <c r="I267" s="686"/>
      <c r="J267" s="686"/>
      <c r="K267" s="686"/>
      <c r="L267" s="702" t="s">
        <v>323</v>
      </c>
      <c r="M267" s="703">
        <f ca="1">IF(VLOOKUP($L267,Data!$C:$H,1,TRUE)=$L267,VLOOKUP($L267,Data!$C:$H,6,TRUE),NA())</f>
        <v>0</v>
      </c>
      <c r="N267" s="466"/>
      <c r="O267" s="467"/>
      <c r="P267" s="297"/>
      <c r="Q267" s="297"/>
      <c r="R267" s="297"/>
      <c r="S267" s="297"/>
      <c r="T267" s="467"/>
    </row>
    <row r="268" spans="1:20" ht="14" customHeight="1" x14ac:dyDescent="0.25">
      <c r="A268" s="332"/>
      <c r="B268" s="461"/>
      <c r="C268" s="686"/>
      <c r="H268" s="686"/>
      <c r="I268" s="686"/>
      <c r="J268" s="686"/>
      <c r="K268" s="686"/>
      <c r="L268" s="702" t="s">
        <v>324</v>
      </c>
      <c r="M268" s="703">
        <f ca="1">IF(VLOOKUP($L268,Data!$C:$H,1,TRUE)=$L268,VLOOKUP($L268,Data!$C:$H,6,TRUE),NA())</f>
        <v>0</v>
      </c>
      <c r="N268" s="466"/>
      <c r="O268" s="467"/>
      <c r="P268" s="297"/>
      <c r="Q268" s="297"/>
      <c r="R268" s="297"/>
      <c r="S268" s="297"/>
      <c r="T268" s="467"/>
    </row>
    <row r="269" spans="1:20" ht="14" customHeight="1" x14ac:dyDescent="0.25">
      <c r="A269" s="332"/>
      <c r="B269" s="461"/>
      <c r="C269" s="686"/>
      <c r="H269" s="686"/>
      <c r="I269" s="686"/>
      <c r="J269" s="686"/>
      <c r="K269" s="686"/>
      <c r="L269" s="702" t="s">
        <v>325</v>
      </c>
      <c r="M269" s="703">
        <f ca="1">IF(VLOOKUP($L269,Data!$C:$H,1,TRUE)=$L269,VLOOKUP($L269,Data!$C:$H,6,TRUE),NA())</f>
        <v>0</v>
      </c>
      <c r="N269" s="466"/>
      <c r="O269" s="467"/>
      <c r="P269" s="297"/>
      <c r="Q269" s="297"/>
      <c r="R269" s="297"/>
      <c r="S269" s="297"/>
      <c r="T269" s="467"/>
    </row>
    <row r="270" spans="1:20" ht="14" customHeight="1" x14ac:dyDescent="0.25">
      <c r="A270" s="332"/>
      <c r="B270" s="461"/>
      <c r="C270" s="686"/>
      <c r="H270" s="686"/>
      <c r="I270" s="686"/>
      <c r="J270" s="686"/>
      <c r="K270" s="686"/>
      <c r="L270" s="702" t="s">
        <v>326</v>
      </c>
      <c r="M270" s="703">
        <f ca="1">IF(VLOOKUP($L270,Data!$C:$H,1,TRUE)=$L270,VLOOKUP($L270,Data!$C:$H,6,TRUE),NA())</f>
        <v>0</v>
      </c>
      <c r="N270" s="466"/>
      <c r="O270" s="467"/>
      <c r="P270" s="297"/>
      <c r="Q270" s="297"/>
      <c r="R270" s="297"/>
      <c r="S270" s="297"/>
      <c r="T270" s="467"/>
    </row>
    <row r="271" spans="1:20" ht="14" customHeight="1" x14ac:dyDescent="0.25">
      <c r="A271" s="332"/>
      <c r="B271" s="461"/>
      <c r="C271" s="686"/>
      <c r="H271" s="686"/>
      <c r="I271" s="686"/>
      <c r="J271" s="686"/>
      <c r="K271" s="686"/>
      <c r="L271" s="702" t="s">
        <v>327</v>
      </c>
      <c r="M271" s="703">
        <f ca="1">IF(VLOOKUP($L271,Data!$C:$H,1,TRUE)=$L271,VLOOKUP($L271,Data!$C:$H,6,TRUE),NA())</f>
        <v>0</v>
      </c>
      <c r="N271" s="466"/>
      <c r="O271" s="467"/>
      <c r="P271" s="297"/>
      <c r="Q271" s="297"/>
      <c r="R271" s="297"/>
      <c r="S271" s="297"/>
      <c r="T271" s="467"/>
    </row>
    <row r="272" spans="1:20" ht="14" customHeight="1" x14ac:dyDescent="0.25">
      <c r="A272" s="332"/>
      <c r="B272" s="461"/>
      <c r="C272" s="686"/>
      <c r="H272" s="686"/>
      <c r="I272" s="686"/>
      <c r="J272" s="686"/>
      <c r="K272" s="686"/>
      <c r="L272" s="702" t="s">
        <v>328</v>
      </c>
      <c r="M272" s="703">
        <f ca="1">IF(VLOOKUP($L272,Data!$C:$H,1,TRUE)=$L272,VLOOKUP($L272,Data!$C:$H,6,TRUE),NA())</f>
        <v>0</v>
      </c>
      <c r="N272" s="466"/>
      <c r="O272" s="467"/>
      <c r="P272" s="297"/>
      <c r="Q272" s="297"/>
      <c r="R272" s="297"/>
      <c r="S272" s="297"/>
      <c r="T272" s="467"/>
    </row>
    <row r="273" spans="1:20" ht="14" customHeight="1" x14ac:dyDescent="0.25">
      <c r="A273" s="332"/>
      <c r="B273" s="461"/>
      <c r="C273" s="686"/>
      <c r="H273" s="686"/>
      <c r="I273" s="686"/>
      <c r="J273" s="686"/>
      <c r="K273" s="686"/>
      <c r="L273" s="702" t="s">
        <v>329</v>
      </c>
      <c r="M273" s="703">
        <f ca="1">IF(VLOOKUP($L273,Data!$C:$H,1,TRUE)=$L273,VLOOKUP($L273,Data!$C:$H,6,TRUE),NA())</f>
        <v>0</v>
      </c>
      <c r="N273" s="466"/>
      <c r="O273" s="467"/>
      <c r="P273" s="297"/>
      <c r="Q273" s="297"/>
      <c r="R273" s="297"/>
      <c r="S273" s="297"/>
      <c r="T273" s="467"/>
    </row>
    <row r="274" spans="1:20" ht="14" customHeight="1" x14ac:dyDescent="0.25">
      <c r="A274" s="332"/>
      <c r="B274" s="461"/>
      <c r="C274" s="686"/>
      <c r="H274" s="686"/>
      <c r="I274" s="686"/>
      <c r="J274" s="686"/>
      <c r="K274" s="686"/>
      <c r="L274" s="702" t="s">
        <v>330</v>
      </c>
      <c r="M274" s="703">
        <f ca="1">IF(VLOOKUP($L274,Data!$C:$H,1,TRUE)=$L274,VLOOKUP($L274,Data!$C:$H,6,TRUE),NA())</f>
        <v>0</v>
      </c>
      <c r="N274" s="466"/>
      <c r="O274" s="467"/>
      <c r="P274" s="297"/>
      <c r="Q274" s="297"/>
      <c r="R274" s="297"/>
      <c r="S274" s="297"/>
      <c r="T274" s="467"/>
    </row>
    <row r="275" spans="1:20" ht="14" customHeight="1" x14ac:dyDescent="0.25">
      <c r="A275" s="332"/>
      <c r="B275" s="461"/>
      <c r="C275" s="686"/>
      <c r="H275" s="686"/>
      <c r="I275" s="686"/>
      <c r="J275" s="686"/>
      <c r="K275" s="686"/>
      <c r="L275" s="702" t="s">
        <v>331</v>
      </c>
      <c r="M275" s="703">
        <f ca="1">IF(VLOOKUP($L275,Data!$C:$H,1,TRUE)=$L275,VLOOKUP($L275,Data!$C:$H,6,TRUE),NA())</f>
        <v>0</v>
      </c>
      <c r="N275" s="466"/>
      <c r="O275" s="467"/>
      <c r="P275" s="297"/>
      <c r="Q275" s="297"/>
      <c r="R275" s="297"/>
      <c r="S275" s="297"/>
      <c r="T275" s="467"/>
    </row>
    <row r="276" spans="1:20" ht="14" customHeight="1" x14ac:dyDescent="0.25">
      <c r="A276" s="332"/>
      <c r="B276" s="461"/>
      <c r="C276" s="686"/>
      <c r="H276" s="686"/>
      <c r="I276" s="686"/>
      <c r="J276" s="686"/>
      <c r="K276" s="686"/>
      <c r="L276" s="702" t="s">
        <v>332</v>
      </c>
      <c r="M276" s="703">
        <f ca="1">IF(VLOOKUP($L276,Data!$C:$H,1,TRUE)=$L276,VLOOKUP($L276,Data!$C:$H,6,TRUE),NA())</f>
        <v>0</v>
      </c>
      <c r="N276" s="466"/>
      <c r="O276" s="467"/>
      <c r="P276" s="297"/>
      <c r="Q276" s="297"/>
      <c r="R276" s="297"/>
      <c r="S276" s="297"/>
      <c r="T276" s="467"/>
    </row>
    <row r="277" spans="1:20" ht="14" customHeight="1" x14ac:dyDescent="0.25">
      <c r="A277" s="332"/>
      <c r="B277" s="461"/>
      <c r="C277" s="686"/>
      <c r="H277" s="686"/>
      <c r="I277" s="686"/>
      <c r="J277" s="686"/>
      <c r="K277" s="686"/>
      <c r="L277" s="702" t="s">
        <v>333</v>
      </c>
      <c r="M277" s="703">
        <f ca="1">IF(VLOOKUP($L277,Data!$C:$H,1,TRUE)=$L277,VLOOKUP($L277,Data!$C:$H,6,TRUE),NA())</f>
        <v>0</v>
      </c>
      <c r="N277" s="466"/>
      <c r="O277" s="467"/>
      <c r="P277" s="297"/>
      <c r="Q277" s="297"/>
      <c r="R277" s="297"/>
      <c r="S277" s="297"/>
      <c r="T277" s="467"/>
    </row>
    <row r="278" spans="1:20" ht="14" customHeight="1" x14ac:dyDescent="0.25">
      <c r="A278" s="332"/>
      <c r="B278" s="461"/>
      <c r="C278" s="686"/>
      <c r="H278" s="686"/>
      <c r="I278" s="686"/>
      <c r="J278" s="686"/>
      <c r="K278" s="686"/>
      <c r="L278" s="702" t="s">
        <v>334</v>
      </c>
      <c r="M278" s="703">
        <f ca="1">IF(VLOOKUP($L278,Data!$C:$H,1,TRUE)=$L278,VLOOKUP($L278,Data!$C:$H,6,TRUE),NA())</f>
        <v>0</v>
      </c>
      <c r="N278" s="466"/>
      <c r="O278" s="467"/>
      <c r="P278" s="297"/>
      <c r="Q278" s="297"/>
      <c r="R278" s="297"/>
      <c r="S278" s="297"/>
      <c r="T278" s="467"/>
    </row>
    <row r="279" spans="1:20" ht="14" customHeight="1" x14ac:dyDescent="0.25">
      <c r="A279" s="332"/>
      <c r="B279" s="461"/>
      <c r="C279" s="686"/>
      <c r="H279" s="686"/>
      <c r="I279" s="686"/>
      <c r="J279" s="686"/>
      <c r="K279" s="686"/>
      <c r="L279" s="702" t="s">
        <v>335</v>
      </c>
      <c r="M279" s="703">
        <f ca="1">IF(VLOOKUP($L279,Data!$C:$H,1,TRUE)=$L279,VLOOKUP($L279,Data!$C:$H,6,TRUE),NA())</f>
        <v>0</v>
      </c>
      <c r="N279" s="466"/>
      <c r="O279" s="467"/>
      <c r="P279" s="297"/>
      <c r="Q279" s="297"/>
      <c r="R279" s="297"/>
      <c r="S279" s="297"/>
      <c r="T279" s="467"/>
    </row>
    <row r="280" spans="1:20" ht="14" customHeight="1" x14ac:dyDescent="0.25">
      <c r="A280" s="332"/>
      <c r="B280" s="461"/>
      <c r="C280" s="686"/>
      <c r="H280" s="686"/>
      <c r="I280" s="686"/>
      <c r="J280" s="686"/>
      <c r="K280" s="686"/>
      <c r="L280" s="702" t="s">
        <v>336</v>
      </c>
      <c r="M280" s="703">
        <f ca="1">IF(VLOOKUP($L280,Data!$C:$H,1,TRUE)=$L280,VLOOKUP($L280,Data!$C:$H,6,TRUE),NA())</f>
        <v>0</v>
      </c>
      <c r="N280" s="466"/>
      <c r="O280" s="467"/>
      <c r="P280" s="297"/>
      <c r="Q280" s="297"/>
      <c r="R280" s="297"/>
      <c r="S280" s="297"/>
      <c r="T280" s="467"/>
    </row>
    <row r="281" spans="1:20" ht="14" customHeight="1" x14ac:dyDescent="0.25">
      <c r="A281" s="332"/>
      <c r="B281" s="461"/>
      <c r="C281" s="686"/>
      <c r="H281" s="686"/>
      <c r="I281" s="686"/>
      <c r="J281" s="686"/>
      <c r="K281" s="686"/>
      <c r="L281" s="702" t="s">
        <v>337</v>
      </c>
      <c r="M281" s="703">
        <f ca="1">IF(VLOOKUP($L281,Data!$C:$H,1,TRUE)=$L281,VLOOKUP($L281,Data!$C:$H,6,TRUE),NA())</f>
        <v>0</v>
      </c>
      <c r="N281" s="466"/>
      <c r="O281" s="467"/>
      <c r="P281" s="297"/>
      <c r="Q281" s="297"/>
      <c r="R281" s="297"/>
      <c r="S281" s="297"/>
      <c r="T281" s="467"/>
    </row>
    <row r="282" spans="1:20" ht="14" customHeight="1" x14ac:dyDescent="0.25">
      <c r="A282" s="332"/>
      <c r="B282" s="461"/>
      <c r="C282" s="686"/>
      <c r="H282" s="686"/>
      <c r="I282" s="686"/>
      <c r="J282" s="686"/>
      <c r="K282" s="686"/>
      <c r="L282" s="702" t="s">
        <v>338</v>
      </c>
      <c r="M282" s="703">
        <f ca="1">IF(VLOOKUP($L282,Data!$C:$H,1,TRUE)=$L282,VLOOKUP($L282,Data!$C:$H,6,TRUE),NA())</f>
        <v>0</v>
      </c>
      <c r="N282" s="466"/>
      <c r="O282" s="467"/>
      <c r="P282" s="297"/>
      <c r="Q282" s="297"/>
      <c r="R282" s="297"/>
      <c r="S282" s="297"/>
      <c r="T282" s="467"/>
    </row>
    <row r="283" spans="1:20" ht="14" customHeight="1" x14ac:dyDescent="0.25">
      <c r="A283" s="332"/>
      <c r="B283" s="461"/>
      <c r="C283" s="686"/>
      <c r="H283" s="686"/>
      <c r="I283" s="686"/>
      <c r="J283" s="686"/>
      <c r="K283" s="686"/>
      <c r="L283" s="702" t="s">
        <v>339</v>
      </c>
      <c r="M283" s="703">
        <f ca="1">IF(VLOOKUP($L283,Data!$C:$H,1,TRUE)=$L283,VLOOKUP($L283,Data!$C:$H,6,TRUE),NA())</f>
        <v>0</v>
      </c>
      <c r="N283" s="466"/>
      <c r="O283" s="467"/>
      <c r="P283" s="297"/>
      <c r="Q283" s="297"/>
      <c r="R283" s="297"/>
      <c r="S283" s="297"/>
      <c r="T283" s="467"/>
    </row>
    <row r="284" spans="1:20" ht="14" customHeight="1" x14ac:dyDescent="0.25">
      <c r="A284" s="332"/>
      <c r="B284" s="461"/>
      <c r="C284" s="686"/>
      <c r="H284" s="686"/>
      <c r="I284" s="686"/>
      <c r="J284" s="686"/>
      <c r="K284" s="686"/>
      <c r="L284" s="702" t="s">
        <v>340</v>
      </c>
      <c r="M284" s="703">
        <f ca="1">IF(VLOOKUP($L284,Data!$C:$H,1,TRUE)=$L284,VLOOKUP($L284,Data!$C:$H,6,TRUE),NA())</f>
        <v>0</v>
      </c>
      <c r="N284" s="466"/>
      <c r="O284" s="467"/>
      <c r="P284" s="297"/>
      <c r="Q284" s="297"/>
      <c r="R284" s="297"/>
      <c r="S284" s="297"/>
      <c r="T284" s="467"/>
    </row>
    <row r="285" spans="1:20" ht="14" customHeight="1" x14ac:dyDescent="0.25">
      <c r="A285" s="332"/>
      <c r="B285" s="461"/>
      <c r="C285" s="686"/>
      <c r="H285" s="686"/>
      <c r="I285" s="686"/>
      <c r="J285" s="686"/>
      <c r="K285" s="686"/>
      <c r="L285" s="702" t="s">
        <v>341</v>
      </c>
      <c r="M285" s="703">
        <f ca="1">IF(VLOOKUP($L285,Data!$C:$H,1,TRUE)=$L285,VLOOKUP($L285,Data!$C:$H,6,TRUE),NA())</f>
        <v>0</v>
      </c>
      <c r="N285" s="466"/>
      <c r="O285" s="467"/>
      <c r="P285" s="297"/>
      <c r="Q285" s="297"/>
      <c r="R285" s="297"/>
      <c r="S285" s="297"/>
      <c r="T285" s="467"/>
    </row>
    <row r="286" spans="1:20" ht="14" customHeight="1" x14ac:dyDescent="0.25">
      <c r="A286" s="332"/>
      <c r="B286" s="461"/>
      <c r="C286" s="686"/>
      <c r="H286" s="686"/>
      <c r="I286" s="686"/>
      <c r="J286" s="686"/>
      <c r="K286" s="686"/>
      <c r="L286" s="702" t="s">
        <v>342</v>
      </c>
      <c r="M286" s="703">
        <f ca="1">IF(VLOOKUP($L286,Data!$C:$H,1,TRUE)=$L286,VLOOKUP($L286,Data!$C:$H,6,TRUE),NA())</f>
        <v>0</v>
      </c>
      <c r="N286" s="466"/>
      <c r="O286" s="467"/>
      <c r="P286" s="297"/>
      <c r="Q286" s="297"/>
      <c r="R286" s="297"/>
      <c r="S286" s="297"/>
      <c r="T286" s="467"/>
    </row>
    <row r="287" spans="1:20" ht="14" customHeight="1" x14ac:dyDescent="0.25">
      <c r="A287" s="332"/>
      <c r="B287" s="461"/>
      <c r="C287" s="686"/>
      <c r="H287" s="686"/>
      <c r="I287" s="686"/>
      <c r="J287" s="686"/>
      <c r="K287" s="686"/>
      <c r="L287" s="702" t="s">
        <v>343</v>
      </c>
      <c r="M287" s="703">
        <f ca="1">IF(VLOOKUP($L287,Data!$C:$H,1,TRUE)=$L287,VLOOKUP($L287,Data!$C:$H,6,TRUE),NA())</f>
        <v>0</v>
      </c>
      <c r="N287" s="466"/>
      <c r="O287" s="467"/>
      <c r="P287" s="297"/>
      <c r="Q287" s="297"/>
      <c r="R287" s="297"/>
      <c r="S287" s="297"/>
      <c r="T287" s="467"/>
    </row>
    <row r="288" spans="1:20" ht="14" customHeight="1" x14ac:dyDescent="0.25">
      <c r="A288" s="332"/>
      <c r="B288" s="461"/>
      <c r="C288" s="686"/>
      <c r="H288" s="686"/>
      <c r="I288" s="686"/>
      <c r="J288" s="686"/>
      <c r="K288" s="686"/>
      <c r="L288" s="702" t="s">
        <v>344</v>
      </c>
      <c r="M288" s="703">
        <f ca="1">IF(VLOOKUP($L288,Data!$C:$H,1,TRUE)=$L288,VLOOKUP($L288,Data!$C:$H,6,TRUE),NA())</f>
        <v>0</v>
      </c>
      <c r="N288" s="466"/>
      <c r="O288" s="467"/>
      <c r="P288" s="297"/>
      <c r="Q288" s="297"/>
      <c r="R288" s="297"/>
      <c r="S288" s="297"/>
      <c r="T288" s="467"/>
    </row>
    <row r="289" spans="1:20" ht="14" customHeight="1" x14ac:dyDescent="0.25">
      <c r="A289" s="332"/>
      <c r="B289" s="461"/>
      <c r="C289" s="686"/>
      <c r="H289" s="686"/>
      <c r="I289" s="686"/>
      <c r="J289" s="686"/>
      <c r="K289" s="686"/>
      <c r="L289" s="702" t="s">
        <v>345</v>
      </c>
      <c r="M289" s="703">
        <f ca="1">IF(VLOOKUP($L289,Data!$C:$H,1,TRUE)=$L289,VLOOKUP($L289,Data!$C:$H,6,TRUE),NA())</f>
        <v>0</v>
      </c>
      <c r="N289" s="466"/>
      <c r="O289" s="467"/>
      <c r="P289" s="297"/>
      <c r="Q289" s="297"/>
      <c r="R289" s="297"/>
      <c r="S289" s="297"/>
      <c r="T289" s="467"/>
    </row>
    <row r="290" spans="1:20" ht="14" customHeight="1" x14ac:dyDescent="0.25">
      <c r="A290" s="332"/>
      <c r="B290" s="461"/>
      <c r="C290" s="686"/>
      <c r="H290" s="686"/>
      <c r="I290" s="686"/>
      <c r="J290" s="686"/>
      <c r="K290" s="686"/>
      <c r="L290" s="702" t="s">
        <v>346</v>
      </c>
      <c r="M290" s="703">
        <f ca="1">IF(VLOOKUP($L290,Data!$C:$H,1,TRUE)=$L290,VLOOKUP($L290,Data!$C:$H,6,TRUE),NA())</f>
        <v>0</v>
      </c>
      <c r="N290" s="466"/>
      <c r="O290" s="467"/>
      <c r="P290" s="297"/>
      <c r="Q290" s="297"/>
      <c r="R290" s="297"/>
      <c r="S290" s="297"/>
      <c r="T290" s="467"/>
    </row>
    <row r="291" spans="1:20" ht="14" customHeight="1" x14ac:dyDescent="0.25">
      <c r="A291" s="332"/>
      <c r="B291" s="461"/>
      <c r="C291" s="686"/>
      <c r="H291" s="686"/>
      <c r="I291" s="686"/>
      <c r="J291" s="686"/>
      <c r="K291" s="686"/>
      <c r="L291" s="702" t="s">
        <v>347</v>
      </c>
      <c r="M291" s="703">
        <f ca="1">IF(VLOOKUP($L291,Data!$C:$H,1,TRUE)=$L291,VLOOKUP($L291,Data!$C:$H,6,TRUE),NA())</f>
        <v>0</v>
      </c>
      <c r="N291" s="466"/>
      <c r="O291" s="467"/>
      <c r="P291" s="297"/>
      <c r="Q291" s="297"/>
      <c r="R291" s="297"/>
      <c r="S291" s="297"/>
      <c r="T291" s="467"/>
    </row>
    <row r="292" spans="1:20" ht="14" customHeight="1" x14ac:dyDescent="0.25">
      <c r="A292" s="332"/>
      <c r="B292" s="461"/>
      <c r="C292" s="686"/>
      <c r="H292" s="686"/>
      <c r="I292" s="686"/>
      <c r="J292" s="686"/>
      <c r="K292" s="686"/>
      <c r="L292" s="702" t="s">
        <v>348</v>
      </c>
      <c r="M292" s="703">
        <f ca="1">IF(VLOOKUP($L292,Data!$C:$H,1,TRUE)=$L292,VLOOKUP($L292,Data!$C:$H,6,TRUE),NA())</f>
        <v>0</v>
      </c>
      <c r="N292" s="466"/>
      <c r="O292" s="467"/>
      <c r="P292" s="297"/>
      <c r="Q292" s="297"/>
      <c r="R292" s="297"/>
      <c r="S292" s="297"/>
      <c r="T292" s="467"/>
    </row>
    <row r="293" spans="1:20" ht="14" customHeight="1" x14ac:dyDescent="0.25">
      <c r="A293" s="332"/>
      <c r="B293" s="461"/>
      <c r="C293" s="686"/>
      <c r="H293" s="686"/>
      <c r="I293" s="686"/>
      <c r="J293" s="686"/>
      <c r="K293" s="686"/>
      <c r="L293" s="702" t="s">
        <v>349</v>
      </c>
      <c r="M293" s="703">
        <f ca="1">IF(VLOOKUP($L293,Data!$C:$H,1,TRUE)=$L293,VLOOKUP($L293,Data!$C:$H,6,TRUE),NA())</f>
        <v>0</v>
      </c>
      <c r="N293" s="466"/>
      <c r="O293" s="467"/>
      <c r="P293" s="297"/>
      <c r="Q293" s="297"/>
      <c r="R293" s="297"/>
      <c r="S293" s="297"/>
      <c r="T293" s="467"/>
    </row>
    <row r="294" spans="1:20" ht="14" customHeight="1" x14ac:dyDescent="0.25">
      <c r="A294" s="332"/>
      <c r="B294" s="461"/>
      <c r="C294" s="686"/>
      <c r="H294" s="686"/>
      <c r="I294" s="686"/>
      <c r="J294" s="686"/>
      <c r="K294" s="686"/>
      <c r="L294" s="702" t="s">
        <v>350</v>
      </c>
      <c r="M294" s="703">
        <f ca="1">IF(VLOOKUP($L294,Data!$C:$H,1,TRUE)=$L294,VLOOKUP($L294,Data!$C:$H,6,TRUE),NA())</f>
        <v>0</v>
      </c>
      <c r="N294" s="466"/>
      <c r="O294" s="467"/>
      <c r="P294" s="297"/>
      <c r="Q294" s="297"/>
      <c r="R294" s="297"/>
      <c r="S294" s="297"/>
      <c r="T294" s="467"/>
    </row>
    <row r="295" spans="1:20" ht="14" customHeight="1" x14ac:dyDescent="0.25">
      <c r="A295" s="332"/>
      <c r="B295" s="461"/>
      <c r="C295" s="686"/>
      <c r="H295" s="686"/>
      <c r="I295" s="686"/>
      <c r="J295" s="686"/>
      <c r="K295" s="686"/>
      <c r="L295" s="702" t="s">
        <v>351</v>
      </c>
      <c r="M295" s="703">
        <f ca="1">IF(VLOOKUP($L295,Data!$C:$H,1,TRUE)=$L295,VLOOKUP($L295,Data!$C:$H,6,TRUE),NA())</f>
        <v>0</v>
      </c>
      <c r="N295" s="466"/>
      <c r="O295" s="467"/>
      <c r="P295" s="297"/>
      <c r="Q295" s="297"/>
      <c r="R295" s="297"/>
      <c r="S295" s="297"/>
      <c r="T295" s="467"/>
    </row>
    <row r="296" spans="1:20" ht="14" customHeight="1" x14ac:dyDescent="0.25">
      <c r="A296" s="332"/>
      <c r="B296" s="461"/>
      <c r="C296" s="686"/>
      <c r="H296" s="686"/>
      <c r="I296" s="686"/>
      <c r="J296" s="686"/>
      <c r="K296" s="686"/>
      <c r="L296" s="702" t="s">
        <v>352</v>
      </c>
      <c r="M296" s="703">
        <f ca="1">IF(VLOOKUP($L296,Data!$C:$H,1,TRUE)=$L296,VLOOKUP($L296,Data!$C:$H,6,TRUE),NA())</f>
        <v>0</v>
      </c>
      <c r="N296" s="466"/>
      <c r="O296" s="467"/>
      <c r="P296" s="297"/>
      <c r="Q296" s="297"/>
      <c r="R296" s="297"/>
      <c r="S296" s="297"/>
      <c r="T296" s="467"/>
    </row>
    <row r="297" spans="1:20" ht="14" customHeight="1" x14ac:dyDescent="0.25">
      <c r="A297" s="332"/>
      <c r="B297" s="461"/>
      <c r="C297" s="686"/>
      <c r="H297" s="686"/>
      <c r="I297" s="686"/>
      <c r="J297" s="686"/>
      <c r="K297" s="686"/>
      <c r="L297" s="702" t="s">
        <v>353</v>
      </c>
      <c r="M297" s="703">
        <f ca="1">IF(VLOOKUP($L297,Data!$C:$H,1,TRUE)=$L297,VLOOKUP($L297,Data!$C:$H,6,TRUE),NA())</f>
        <v>0</v>
      </c>
      <c r="N297" s="466"/>
      <c r="O297" s="467"/>
      <c r="P297" s="297"/>
      <c r="Q297" s="297"/>
      <c r="R297" s="297"/>
      <c r="S297" s="297"/>
      <c r="T297" s="467"/>
    </row>
    <row r="298" spans="1:20" ht="14" customHeight="1" x14ac:dyDescent="0.25">
      <c r="A298" s="332"/>
      <c r="B298" s="461"/>
      <c r="C298" s="686"/>
      <c r="H298" s="686"/>
      <c r="I298" s="686"/>
      <c r="J298" s="686"/>
      <c r="K298" s="686"/>
      <c r="L298" s="702" t="s">
        <v>354</v>
      </c>
      <c r="M298" s="703">
        <f ca="1">IF(VLOOKUP($L298,Data!$C:$H,1,TRUE)=$L298,VLOOKUP($L298,Data!$C:$H,6,TRUE),NA())</f>
        <v>0</v>
      </c>
      <c r="N298" s="466"/>
      <c r="O298" s="467"/>
      <c r="P298" s="297"/>
      <c r="Q298" s="297"/>
      <c r="R298" s="297"/>
      <c r="S298" s="297"/>
      <c r="T298" s="467"/>
    </row>
    <row r="299" spans="1:20" ht="14" customHeight="1" x14ac:dyDescent="0.25">
      <c r="A299" s="332"/>
      <c r="B299" s="461"/>
      <c r="C299" s="686"/>
      <c r="H299" s="686"/>
      <c r="I299" s="686"/>
      <c r="J299" s="686"/>
      <c r="K299" s="686"/>
      <c r="L299" s="702" t="s">
        <v>355</v>
      </c>
      <c r="M299" s="703">
        <f ca="1">IF(VLOOKUP($L299,Data!$C:$H,1,TRUE)=$L299,VLOOKUP($L299,Data!$C:$H,6,TRUE),NA())</f>
        <v>0</v>
      </c>
      <c r="N299" s="466"/>
      <c r="O299" s="467"/>
      <c r="P299" s="297"/>
      <c r="Q299" s="297"/>
      <c r="R299" s="297"/>
      <c r="S299" s="297"/>
      <c r="T299" s="467"/>
    </row>
    <row r="300" spans="1:20" ht="14" customHeight="1" x14ac:dyDescent="0.25">
      <c r="A300" s="332"/>
      <c r="B300" s="461"/>
      <c r="C300" s="686"/>
      <c r="H300" s="686"/>
      <c r="I300" s="686"/>
      <c r="J300" s="686"/>
      <c r="K300" s="686"/>
      <c r="L300" s="702" t="s">
        <v>356</v>
      </c>
      <c r="M300" s="703">
        <f ca="1">IF(VLOOKUP($L300,Data!$C:$H,1,TRUE)=$L300,VLOOKUP($L300,Data!$C:$H,6,TRUE),NA())</f>
        <v>0</v>
      </c>
      <c r="N300" s="466"/>
      <c r="O300" s="467"/>
      <c r="P300" s="297"/>
      <c r="Q300" s="297"/>
      <c r="R300" s="297"/>
      <c r="S300" s="297"/>
      <c r="T300" s="467"/>
    </row>
    <row r="301" spans="1:20" ht="14" customHeight="1" x14ac:dyDescent="0.25">
      <c r="A301" s="332"/>
      <c r="B301" s="461"/>
      <c r="C301" s="686"/>
      <c r="H301" s="686"/>
      <c r="I301" s="686"/>
      <c r="J301" s="686"/>
      <c r="K301" s="686"/>
      <c r="L301" s="702" t="s">
        <v>357</v>
      </c>
      <c r="M301" s="703">
        <f ca="1">IF(VLOOKUP($L301,Data!$C:$H,1,TRUE)=$L301,VLOOKUP($L301,Data!$C:$H,6,TRUE),NA())</f>
        <v>0</v>
      </c>
      <c r="N301" s="466"/>
      <c r="O301" s="467"/>
      <c r="P301" s="297"/>
      <c r="Q301" s="297"/>
      <c r="R301" s="297"/>
      <c r="S301" s="297"/>
      <c r="T301" s="467"/>
    </row>
    <row r="302" spans="1:20" ht="14" customHeight="1" x14ac:dyDescent="0.25">
      <c r="A302" s="332"/>
      <c r="B302" s="461"/>
      <c r="C302" s="686"/>
      <c r="H302" s="686"/>
      <c r="I302" s="686"/>
      <c r="J302" s="686"/>
      <c r="K302" s="686"/>
      <c r="L302" s="702" t="s">
        <v>358</v>
      </c>
      <c r="M302" s="703">
        <f ca="1">IF(VLOOKUP($L302,Data!$C:$H,1,TRUE)=$L302,VLOOKUP($L302,Data!$C:$H,6,TRUE),NA())</f>
        <v>0</v>
      </c>
      <c r="N302" s="466"/>
      <c r="O302" s="467"/>
      <c r="P302" s="297"/>
      <c r="Q302" s="297"/>
      <c r="R302" s="297"/>
      <c r="S302" s="297"/>
      <c r="T302" s="467"/>
    </row>
    <row r="303" spans="1:20" ht="14" customHeight="1" x14ac:dyDescent="0.25">
      <c r="A303" s="332"/>
      <c r="B303" s="461"/>
      <c r="C303" s="686"/>
      <c r="H303" s="686"/>
      <c r="I303" s="686"/>
      <c r="J303" s="686"/>
      <c r="K303" s="686"/>
      <c r="L303" s="702" t="s">
        <v>359</v>
      </c>
      <c r="M303" s="703">
        <f ca="1">IF(VLOOKUP($L303,Data!$C:$H,1,TRUE)=$L303,VLOOKUP($L303,Data!$C:$H,6,TRUE),NA())</f>
        <v>0</v>
      </c>
      <c r="N303" s="466"/>
      <c r="O303" s="467"/>
      <c r="P303" s="297"/>
      <c r="Q303" s="297"/>
      <c r="R303" s="297"/>
      <c r="S303" s="297"/>
      <c r="T303" s="467"/>
    </row>
    <row r="304" spans="1:20" ht="14" customHeight="1" x14ac:dyDescent="0.25">
      <c r="A304" s="332"/>
      <c r="B304" s="461"/>
      <c r="C304" s="686"/>
      <c r="H304" s="686"/>
      <c r="I304" s="686"/>
      <c r="J304" s="686"/>
      <c r="K304" s="686"/>
      <c r="L304" s="702" t="s">
        <v>360</v>
      </c>
      <c r="M304" s="703">
        <f ca="1">IF(VLOOKUP($L304,Data!$C:$H,1,TRUE)=$L304,VLOOKUP($L304,Data!$C:$H,6,TRUE),NA())</f>
        <v>0</v>
      </c>
      <c r="N304" s="466"/>
      <c r="O304" s="467"/>
      <c r="P304" s="297"/>
      <c r="Q304" s="297"/>
      <c r="R304" s="297"/>
      <c r="S304" s="297"/>
      <c r="T304" s="467"/>
    </row>
    <row r="305" spans="1:20" ht="14" customHeight="1" x14ac:dyDescent="0.25">
      <c r="A305" s="332"/>
      <c r="B305" s="461"/>
      <c r="C305" s="686"/>
      <c r="H305" s="686"/>
      <c r="I305" s="686"/>
      <c r="J305" s="686"/>
      <c r="K305" s="686"/>
      <c r="L305" s="702" t="s">
        <v>361</v>
      </c>
      <c r="M305" s="703">
        <f ca="1">IF(VLOOKUP($L305,Data!$C:$H,1,TRUE)=$L305,VLOOKUP($L305,Data!$C:$H,6,TRUE),NA())</f>
        <v>0</v>
      </c>
      <c r="N305" s="466"/>
      <c r="O305" s="467"/>
      <c r="P305" s="297"/>
      <c r="Q305" s="297"/>
      <c r="R305" s="297"/>
      <c r="S305" s="297"/>
      <c r="T305" s="467"/>
    </row>
    <row r="306" spans="1:20" ht="14" customHeight="1" x14ac:dyDescent="0.25">
      <c r="A306" s="332"/>
      <c r="B306" s="461"/>
      <c r="C306" s="686"/>
      <c r="H306" s="686"/>
      <c r="I306" s="686"/>
      <c r="J306" s="686"/>
      <c r="K306" s="686"/>
      <c r="L306" s="702" t="s">
        <v>362</v>
      </c>
      <c r="M306" s="703">
        <f ca="1">IF(VLOOKUP($L306,Data!$C:$H,1,TRUE)=$L306,VLOOKUP($L306,Data!$C:$H,6,TRUE),NA())</f>
        <v>0</v>
      </c>
      <c r="N306" s="466"/>
      <c r="O306" s="467"/>
      <c r="P306" s="297"/>
      <c r="Q306" s="297"/>
      <c r="R306" s="297"/>
      <c r="S306" s="297"/>
      <c r="T306" s="467"/>
    </row>
    <row r="307" spans="1:20" ht="14" customHeight="1" x14ac:dyDescent="0.25">
      <c r="A307" s="332"/>
      <c r="B307" s="461"/>
      <c r="C307" s="686"/>
      <c r="H307" s="686"/>
      <c r="I307" s="686"/>
      <c r="J307" s="686"/>
      <c r="K307" s="686"/>
      <c r="L307" s="702" t="s">
        <v>363</v>
      </c>
      <c r="M307" s="703">
        <f ca="1">IF(VLOOKUP($L307,Data!$C:$H,1,TRUE)=$L307,VLOOKUP($L307,Data!$C:$H,6,TRUE),NA())</f>
        <v>0</v>
      </c>
      <c r="N307" s="466"/>
      <c r="O307" s="467"/>
      <c r="P307" s="297"/>
      <c r="Q307" s="297"/>
      <c r="R307" s="297"/>
      <c r="S307" s="297"/>
      <c r="T307" s="467"/>
    </row>
    <row r="308" spans="1:20" ht="14" customHeight="1" x14ac:dyDescent="0.25">
      <c r="A308" s="332"/>
      <c r="B308" s="461"/>
      <c r="C308" s="686"/>
      <c r="H308" s="686"/>
      <c r="I308" s="686"/>
      <c r="J308" s="686"/>
      <c r="K308" s="686"/>
      <c r="L308" s="702" t="s">
        <v>364</v>
      </c>
      <c r="M308" s="703">
        <f ca="1">IF(VLOOKUP($L308,Data!$C:$H,1,TRUE)=$L308,VLOOKUP($L308,Data!$C:$H,6,TRUE),NA())</f>
        <v>0</v>
      </c>
      <c r="N308" s="466"/>
      <c r="O308" s="467"/>
      <c r="P308" s="297"/>
      <c r="Q308" s="297"/>
      <c r="R308" s="297"/>
      <c r="S308" s="297"/>
      <c r="T308" s="467"/>
    </row>
    <row r="309" spans="1:20" ht="14" customHeight="1" x14ac:dyDescent="0.25">
      <c r="A309" s="332"/>
      <c r="B309" s="461"/>
      <c r="C309" s="686"/>
      <c r="H309" s="686"/>
      <c r="I309" s="686"/>
      <c r="J309" s="686"/>
      <c r="K309" s="686"/>
      <c r="L309" s="702" t="s">
        <v>365</v>
      </c>
      <c r="M309" s="703">
        <f ca="1">IF(VLOOKUP($L309,Data!$C:$H,1,TRUE)=$L309,VLOOKUP($L309,Data!$C:$H,6,TRUE),NA())</f>
        <v>0</v>
      </c>
      <c r="N309" s="466"/>
      <c r="O309" s="467"/>
      <c r="P309" s="297"/>
      <c r="Q309" s="297"/>
      <c r="R309" s="297"/>
      <c r="S309" s="297"/>
      <c r="T309" s="467"/>
    </row>
    <row r="310" spans="1:20" ht="14" customHeight="1" x14ac:dyDescent="0.25">
      <c r="A310" s="332"/>
      <c r="B310" s="461"/>
      <c r="C310" s="686"/>
      <c r="H310" s="686"/>
      <c r="I310" s="686"/>
      <c r="J310" s="686"/>
      <c r="K310" s="686"/>
      <c r="L310" s="702" t="s">
        <v>366</v>
      </c>
      <c r="M310" s="703">
        <f ca="1">IF(VLOOKUP($L310,Data!$C:$H,1,TRUE)=$L310,VLOOKUP($L310,Data!$C:$H,6,TRUE),NA())</f>
        <v>0</v>
      </c>
      <c r="N310" s="466"/>
      <c r="O310" s="467"/>
      <c r="P310" s="297"/>
      <c r="Q310" s="297"/>
      <c r="R310" s="297"/>
      <c r="S310" s="297"/>
      <c r="T310" s="467"/>
    </row>
    <row r="311" spans="1:20" ht="14" customHeight="1" x14ac:dyDescent="0.25">
      <c r="A311" s="332"/>
      <c r="B311" s="461"/>
      <c r="C311" s="686"/>
      <c r="H311" s="686"/>
      <c r="I311" s="686"/>
      <c r="J311" s="686"/>
      <c r="K311" s="686"/>
      <c r="L311" s="702" t="s">
        <v>367</v>
      </c>
      <c r="M311" s="703">
        <f ca="1">IF(VLOOKUP($L311,Data!$C:$H,1,TRUE)=$L311,VLOOKUP($L311,Data!$C:$H,6,TRUE),NA())</f>
        <v>0</v>
      </c>
      <c r="N311" s="466"/>
      <c r="O311" s="467"/>
      <c r="P311" s="297"/>
      <c r="Q311" s="297"/>
      <c r="R311" s="297"/>
      <c r="S311" s="297"/>
      <c r="T311" s="467"/>
    </row>
    <row r="312" spans="1:20" ht="14" customHeight="1" x14ac:dyDescent="0.25">
      <c r="A312" s="332"/>
      <c r="B312" s="461"/>
      <c r="C312" s="686"/>
      <c r="H312" s="686"/>
      <c r="I312" s="686"/>
      <c r="J312" s="686"/>
      <c r="K312" s="686"/>
      <c r="L312" s="702" t="s">
        <v>368</v>
      </c>
      <c r="M312" s="703">
        <f ca="1">IF(VLOOKUP($L312,Data!$C:$H,1,TRUE)=$L312,VLOOKUP($L312,Data!$C:$H,6,TRUE),NA())</f>
        <v>0</v>
      </c>
      <c r="N312" s="466"/>
      <c r="O312" s="467"/>
      <c r="P312" s="297"/>
      <c r="Q312" s="297"/>
      <c r="R312" s="297"/>
      <c r="S312" s="297"/>
      <c r="T312" s="467"/>
    </row>
    <row r="313" spans="1:20" ht="14" customHeight="1" x14ac:dyDescent="0.25">
      <c r="A313" s="332"/>
      <c r="B313" s="461"/>
      <c r="C313" s="686"/>
      <c r="H313" s="686"/>
      <c r="I313" s="686"/>
      <c r="J313" s="686"/>
      <c r="K313" s="686"/>
      <c r="L313" s="702" t="s">
        <v>369</v>
      </c>
      <c r="M313" s="703">
        <f ca="1">IF(VLOOKUP($L313,Data!$C:$H,1,TRUE)=$L313,VLOOKUP($L313,Data!$C:$H,6,TRUE),NA())</f>
        <v>0</v>
      </c>
      <c r="N313" s="466"/>
      <c r="O313" s="467"/>
      <c r="P313" s="297"/>
      <c r="Q313" s="297"/>
      <c r="R313" s="297"/>
      <c r="S313" s="297"/>
      <c r="T313" s="467"/>
    </row>
    <row r="314" spans="1:20" ht="14" customHeight="1" x14ac:dyDescent="0.25">
      <c r="A314" s="332"/>
      <c r="B314" s="461"/>
      <c r="C314" s="686"/>
      <c r="H314" s="686"/>
      <c r="I314" s="686"/>
      <c r="J314" s="686"/>
      <c r="K314" s="686"/>
      <c r="L314" s="702" t="s">
        <v>370</v>
      </c>
      <c r="M314" s="703">
        <f ca="1">IF(VLOOKUP($L314,Data!$C:$H,1,TRUE)=$L314,VLOOKUP($L314,Data!$C:$H,6,TRUE),NA())</f>
        <v>0</v>
      </c>
      <c r="N314" s="466"/>
      <c r="O314" s="467"/>
      <c r="P314" s="297"/>
      <c r="Q314" s="297"/>
      <c r="R314" s="297"/>
      <c r="S314" s="297"/>
      <c r="T314" s="467"/>
    </row>
    <row r="315" spans="1:20" ht="14" customHeight="1" x14ac:dyDescent="0.25">
      <c r="A315" s="332"/>
      <c r="B315" s="461"/>
      <c r="C315" s="686"/>
      <c r="H315" s="686"/>
      <c r="I315" s="686"/>
      <c r="J315" s="686"/>
      <c r="K315" s="686"/>
      <c r="L315" s="702" t="s">
        <v>371</v>
      </c>
      <c r="M315" s="703">
        <f ca="1">IF(VLOOKUP($L315,Data!$C:$H,1,TRUE)=$L315,VLOOKUP($L315,Data!$C:$H,6,TRUE),NA())</f>
        <v>0</v>
      </c>
      <c r="N315" s="466"/>
      <c r="O315" s="467"/>
      <c r="P315" s="297"/>
      <c r="Q315" s="297"/>
      <c r="R315" s="297"/>
      <c r="S315" s="297"/>
      <c r="T315" s="467"/>
    </row>
    <row r="316" spans="1:20" ht="14" customHeight="1" x14ac:dyDescent="0.25">
      <c r="A316" s="332"/>
      <c r="B316" s="461"/>
      <c r="C316" s="686"/>
      <c r="H316" s="686"/>
      <c r="I316" s="686"/>
      <c r="J316" s="686"/>
      <c r="K316" s="686"/>
      <c r="L316" s="702" t="s">
        <v>372</v>
      </c>
      <c r="M316" s="703">
        <f ca="1">IF(VLOOKUP($L316,Data!$C:$H,1,TRUE)=$L316,VLOOKUP($L316,Data!$C:$H,6,TRUE),NA())</f>
        <v>0</v>
      </c>
      <c r="N316" s="466"/>
      <c r="O316" s="467"/>
      <c r="P316" s="297"/>
      <c r="Q316" s="297"/>
      <c r="R316" s="297"/>
      <c r="S316" s="297"/>
      <c r="T316" s="467"/>
    </row>
    <row r="317" spans="1:20" ht="14" customHeight="1" x14ac:dyDescent="0.25">
      <c r="A317" s="332"/>
      <c r="B317" s="461"/>
      <c r="C317" s="686"/>
      <c r="H317" s="686"/>
      <c r="I317" s="686"/>
      <c r="J317" s="686"/>
      <c r="K317" s="686"/>
      <c r="L317" s="702" t="s">
        <v>374</v>
      </c>
      <c r="M317" s="703">
        <f ca="1">IF(VLOOKUP($L317,Data!$C:$H,1,TRUE)=$L317,VLOOKUP($L317,Data!$C:$H,6,TRUE),NA())</f>
        <v>0</v>
      </c>
      <c r="N317" s="466"/>
      <c r="O317" s="467"/>
      <c r="P317" s="297"/>
      <c r="Q317" s="297"/>
      <c r="R317" s="297"/>
      <c r="S317" s="297"/>
      <c r="T317" s="467"/>
    </row>
    <row r="318" spans="1:20" ht="14" customHeight="1" x14ac:dyDescent="0.25">
      <c r="A318" s="332"/>
      <c r="B318" s="461"/>
      <c r="C318" s="686"/>
      <c r="H318" s="686"/>
      <c r="I318" s="686"/>
      <c r="J318" s="686"/>
      <c r="K318" s="686"/>
      <c r="L318" s="702" t="s">
        <v>376</v>
      </c>
      <c r="M318" s="703">
        <f ca="1">IF(VLOOKUP($L318,Data!$C:$H,1,TRUE)=$L318,VLOOKUP($L318,Data!$C:$H,6,TRUE),NA())</f>
        <v>0</v>
      </c>
      <c r="N318" s="466"/>
      <c r="O318" s="467"/>
      <c r="P318" s="297"/>
      <c r="Q318" s="297"/>
      <c r="R318" s="297"/>
      <c r="S318" s="297"/>
      <c r="T318" s="467"/>
    </row>
    <row r="319" spans="1:20" ht="14" customHeight="1" x14ac:dyDescent="0.25">
      <c r="A319" s="332"/>
      <c r="B319" s="461"/>
      <c r="C319" s="686"/>
      <c r="H319" s="686"/>
      <c r="I319" s="686"/>
      <c r="J319" s="686"/>
      <c r="K319" s="686"/>
      <c r="L319" s="702" t="s">
        <v>377</v>
      </c>
      <c r="M319" s="703">
        <f ca="1">IF(VLOOKUP($L319,Data!$C:$H,1,TRUE)=$L319,VLOOKUP($L319,Data!$C:$H,6,TRUE),NA())</f>
        <v>0</v>
      </c>
      <c r="N319" s="466"/>
      <c r="O319" s="467"/>
      <c r="P319" s="297"/>
      <c r="Q319" s="297"/>
      <c r="R319" s="297"/>
      <c r="S319" s="297"/>
      <c r="T319" s="467"/>
    </row>
    <row r="320" spans="1:20" ht="14" customHeight="1" x14ac:dyDescent="0.25">
      <c r="A320" s="332"/>
      <c r="B320" s="461"/>
      <c r="C320" s="686"/>
      <c r="H320" s="686"/>
      <c r="I320" s="686"/>
      <c r="J320" s="686"/>
      <c r="K320" s="686"/>
      <c r="L320" s="702" t="s">
        <v>378</v>
      </c>
      <c r="M320" s="703">
        <f ca="1">IF(VLOOKUP($L320,Data!$C:$H,1,TRUE)=$L320,VLOOKUP($L320,Data!$C:$H,6,TRUE),NA())</f>
        <v>0</v>
      </c>
      <c r="N320" s="466"/>
      <c r="O320" s="467"/>
      <c r="P320" s="297"/>
      <c r="Q320" s="297"/>
      <c r="R320" s="297"/>
      <c r="S320" s="297"/>
      <c r="T320" s="467"/>
    </row>
    <row r="321" spans="1:20" ht="14" customHeight="1" x14ac:dyDescent="0.25">
      <c r="A321" s="332"/>
      <c r="B321" s="461"/>
      <c r="C321" s="686"/>
      <c r="H321" s="686"/>
      <c r="I321" s="686"/>
      <c r="J321" s="686"/>
      <c r="K321" s="686"/>
      <c r="L321" s="702" t="s">
        <v>379</v>
      </c>
      <c r="M321" s="703">
        <f ca="1">IF(VLOOKUP($L321,Data!$C:$H,1,TRUE)=$L321,VLOOKUP($L321,Data!$C:$H,6,TRUE),NA())</f>
        <v>0</v>
      </c>
      <c r="N321" s="466"/>
      <c r="O321" s="467"/>
      <c r="P321" s="297"/>
      <c r="Q321" s="297"/>
      <c r="R321" s="297"/>
      <c r="S321" s="297"/>
      <c r="T321" s="467"/>
    </row>
    <row r="322" spans="1:20" ht="14" customHeight="1" x14ac:dyDescent="0.25">
      <c r="A322" s="332"/>
      <c r="B322" s="461"/>
      <c r="C322" s="686"/>
      <c r="H322" s="686"/>
      <c r="I322" s="686"/>
      <c r="J322" s="686"/>
      <c r="K322" s="686"/>
      <c r="L322" s="702" t="s">
        <v>380</v>
      </c>
      <c r="M322" s="703">
        <f ca="1">IF(VLOOKUP($L322,Data!$C:$H,1,TRUE)=$L322,VLOOKUP($L322,Data!$C:$H,6,TRUE),NA())</f>
        <v>0</v>
      </c>
      <c r="N322" s="466"/>
      <c r="O322" s="467"/>
      <c r="P322" s="297"/>
      <c r="Q322" s="297"/>
      <c r="R322" s="297"/>
      <c r="S322" s="297"/>
      <c r="T322" s="467"/>
    </row>
    <row r="323" spans="1:20" ht="14" customHeight="1" x14ac:dyDescent="0.25">
      <c r="A323" s="332"/>
      <c r="B323" s="461"/>
      <c r="C323" s="686"/>
      <c r="H323" s="686"/>
      <c r="I323" s="686"/>
      <c r="J323" s="686"/>
      <c r="K323" s="686"/>
      <c r="L323" s="702" t="s">
        <v>381</v>
      </c>
      <c r="M323" s="703">
        <f ca="1">IF(VLOOKUP($L323,Data!$C:$H,1,TRUE)=$L323,VLOOKUP($L323,Data!$C:$H,6,TRUE),NA())</f>
        <v>0</v>
      </c>
      <c r="N323" s="466"/>
      <c r="O323" s="467"/>
      <c r="P323" s="297"/>
      <c r="Q323" s="297"/>
      <c r="R323" s="297"/>
      <c r="S323" s="297"/>
      <c r="T323" s="467"/>
    </row>
    <row r="324" spans="1:20" ht="14" customHeight="1" x14ac:dyDescent="0.25">
      <c r="A324" s="332"/>
      <c r="B324" s="461"/>
      <c r="C324" s="686"/>
      <c r="H324" s="686"/>
      <c r="I324" s="686"/>
      <c r="J324" s="686"/>
      <c r="K324" s="686"/>
      <c r="L324" s="702" t="s">
        <v>382</v>
      </c>
      <c r="M324" s="703">
        <f ca="1">IF(VLOOKUP($L324,Data!$C:$H,1,TRUE)=$L324,VLOOKUP($L324,Data!$C:$H,6,TRUE),NA())</f>
        <v>0</v>
      </c>
      <c r="N324" s="466"/>
      <c r="O324" s="467"/>
      <c r="P324" s="297"/>
      <c r="Q324" s="297"/>
      <c r="R324" s="297"/>
      <c r="S324" s="297"/>
      <c r="T324" s="467"/>
    </row>
    <row r="325" spans="1:20" ht="14" customHeight="1" x14ac:dyDescent="0.25">
      <c r="A325" s="332"/>
      <c r="B325" s="461"/>
      <c r="C325" s="686"/>
      <c r="H325" s="686"/>
      <c r="I325" s="686"/>
      <c r="J325" s="686"/>
      <c r="K325" s="686"/>
      <c r="L325" s="702" t="s">
        <v>383</v>
      </c>
      <c r="M325" s="703">
        <f ca="1">IF(VLOOKUP($L325,Data!$C:$H,1,TRUE)=$L325,VLOOKUP($L325,Data!$C:$H,6,TRUE),NA())</f>
        <v>0</v>
      </c>
      <c r="N325" s="466"/>
      <c r="O325" s="467"/>
      <c r="P325" s="297"/>
      <c r="Q325" s="297"/>
      <c r="R325" s="297"/>
      <c r="S325" s="297"/>
      <c r="T325" s="467"/>
    </row>
    <row r="326" spans="1:20" ht="14" customHeight="1" x14ac:dyDescent="0.25">
      <c r="A326" s="332"/>
      <c r="B326" s="461"/>
      <c r="C326" s="686"/>
      <c r="H326" s="686"/>
      <c r="I326" s="686"/>
      <c r="J326" s="686"/>
      <c r="K326" s="686"/>
      <c r="L326" s="702" t="s">
        <v>384</v>
      </c>
      <c r="M326" s="703">
        <f ca="1">IF(VLOOKUP($L326,Data!$C:$H,1,TRUE)=$L326,VLOOKUP($L326,Data!$C:$H,6,TRUE),NA())</f>
        <v>0</v>
      </c>
      <c r="N326" s="466"/>
      <c r="O326" s="467"/>
      <c r="P326" s="297"/>
      <c r="Q326" s="297"/>
      <c r="R326" s="297"/>
      <c r="S326" s="297"/>
      <c r="T326" s="467"/>
    </row>
    <row r="327" spans="1:20" ht="14" customHeight="1" x14ac:dyDescent="0.25">
      <c r="A327" s="332"/>
      <c r="B327" s="461"/>
      <c r="C327" s="686"/>
      <c r="H327" s="686"/>
      <c r="I327" s="686"/>
      <c r="J327" s="686"/>
      <c r="K327" s="686"/>
      <c r="L327" s="702" t="s">
        <v>385</v>
      </c>
      <c r="M327" s="703">
        <f ca="1">IF(VLOOKUP($L327,Data!$C:$H,1,TRUE)=$L327,VLOOKUP($L327,Data!$C:$H,6,TRUE),NA())</f>
        <v>0</v>
      </c>
      <c r="N327" s="466"/>
      <c r="O327" s="467"/>
      <c r="P327" s="297"/>
      <c r="Q327" s="297"/>
      <c r="R327" s="297"/>
      <c r="S327" s="297"/>
      <c r="T327" s="467"/>
    </row>
    <row r="328" spans="1:20" ht="14" customHeight="1" x14ac:dyDescent="0.25">
      <c r="A328" s="332"/>
      <c r="B328" s="461"/>
      <c r="C328" s="686"/>
      <c r="H328" s="686"/>
      <c r="I328" s="686"/>
      <c r="J328" s="686"/>
      <c r="K328" s="686"/>
      <c r="L328" s="702" t="s">
        <v>386</v>
      </c>
      <c r="M328" s="703">
        <f ca="1">IF(VLOOKUP($L328,Data!$C:$H,1,TRUE)=$L328,VLOOKUP($L328,Data!$C:$H,6,TRUE),NA())</f>
        <v>0</v>
      </c>
      <c r="N328" s="466"/>
      <c r="O328" s="467"/>
      <c r="P328" s="297"/>
      <c r="Q328" s="297"/>
      <c r="R328" s="297"/>
      <c r="S328" s="297"/>
      <c r="T328" s="467"/>
    </row>
    <row r="329" spans="1:20" ht="14" customHeight="1" x14ac:dyDescent="0.25">
      <c r="A329" s="332"/>
      <c r="B329" s="461"/>
      <c r="C329" s="686"/>
      <c r="H329" s="686"/>
      <c r="I329" s="686"/>
      <c r="J329" s="686"/>
      <c r="K329" s="686"/>
      <c r="L329" s="702" t="s">
        <v>387</v>
      </c>
      <c r="M329" s="703">
        <f ca="1">IF(VLOOKUP($L329,Data!$C:$H,1,TRUE)=$L329,VLOOKUP($L329,Data!$C:$H,6,TRUE),NA())</f>
        <v>0</v>
      </c>
      <c r="N329" s="466"/>
      <c r="O329" s="467"/>
      <c r="P329" s="297"/>
      <c r="Q329" s="297"/>
      <c r="R329" s="297"/>
      <c r="S329" s="297"/>
      <c r="T329" s="467"/>
    </row>
    <row r="330" spans="1:20" ht="14" customHeight="1" x14ac:dyDescent="0.25">
      <c r="A330" s="332"/>
      <c r="B330" s="461"/>
      <c r="C330" s="686"/>
      <c r="H330" s="686"/>
      <c r="I330" s="686"/>
      <c r="J330" s="686"/>
      <c r="K330" s="686"/>
      <c r="L330" s="702" t="s">
        <v>388</v>
      </c>
      <c r="M330" s="703">
        <f ca="1">IF(VLOOKUP($L330,Data!$C:$H,1,TRUE)=$L330,VLOOKUP($L330,Data!$C:$H,6,TRUE),NA())</f>
        <v>0</v>
      </c>
      <c r="N330" s="466"/>
      <c r="O330" s="467"/>
      <c r="P330" s="297"/>
      <c r="Q330" s="297"/>
      <c r="R330" s="297"/>
      <c r="S330" s="297"/>
      <c r="T330" s="467"/>
    </row>
    <row r="331" spans="1:20" ht="14" customHeight="1" x14ac:dyDescent="0.25">
      <c r="A331" s="332"/>
      <c r="B331" s="461"/>
      <c r="C331" s="686"/>
      <c r="H331" s="686"/>
      <c r="I331" s="686"/>
      <c r="J331" s="686"/>
      <c r="K331" s="686"/>
      <c r="L331" s="702" t="s">
        <v>389</v>
      </c>
      <c r="M331" s="703">
        <f ca="1">IF(VLOOKUP($L331,Data!$C:$H,1,TRUE)=$L331,VLOOKUP($L331,Data!$C:$H,6,TRUE),NA())</f>
        <v>0</v>
      </c>
      <c r="N331" s="466"/>
      <c r="O331" s="467"/>
      <c r="P331" s="297"/>
      <c r="Q331" s="297"/>
      <c r="R331" s="297"/>
      <c r="S331" s="297"/>
      <c r="T331" s="467"/>
    </row>
    <row r="332" spans="1:20" ht="14" customHeight="1" x14ac:dyDescent="0.25">
      <c r="A332" s="332"/>
      <c r="B332" s="461"/>
      <c r="C332" s="686"/>
      <c r="H332" s="686"/>
      <c r="I332" s="686"/>
      <c r="J332" s="686"/>
      <c r="K332" s="686"/>
      <c r="L332" s="702" t="s">
        <v>390</v>
      </c>
      <c r="M332" s="703">
        <f ca="1">IF(VLOOKUP($L332,Data!$C:$H,1,TRUE)=$L332,VLOOKUP($L332,Data!$C:$H,6,TRUE),NA())</f>
        <v>0</v>
      </c>
      <c r="N332" s="466"/>
      <c r="O332" s="467"/>
      <c r="P332" s="297"/>
      <c r="Q332" s="297"/>
      <c r="R332" s="297"/>
      <c r="S332" s="297"/>
      <c r="T332" s="467"/>
    </row>
    <row r="333" spans="1:20" ht="14" customHeight="1" x14ac:dyDescent="0.25">
      <c r="A333" s="332"/>
      <c r="B333" s="461"/>
      <c r="C333" s="686"/>
      <c r="H333" s="686"/>
      <c r="I333" s="686"/>
      <c r="J333" s="686"/>
      <c r="K333" s="686"/>
      <c r="L333" s="702" t="s">
        <v>391</v>
      </c>
      <c r="M333" s="703">
        <f ca="1">IF(VLOOKUP($L333,Data!$C:$H,1,TRUE)=$L333,VLOOKUP($L333,Data!$C:$H,6,TRUE),NA())</f>
        <v>0</v>
      </c>
      <c r="N333" s="466"/>
      <c r="O333" s="467"/>
      <c r="P333" s="297"/>
      <c r="Q333" s="297"/>
      <c r="R333" s="297"/>
      <c r="S333" s="297"/>
      <c r="T333" s="467"/>
    </row>
    <row r="334" spans="1:20" ht="14" customHeight="1" x14ac:dyDescent="0.25">
      <c r="A334" s="332"/>
      <c r="B334" s="461"/>
      <c r="C334" s="686"/>
      <c r="H334" s="686"/>
      <c r="I334" s="686"/>
      <c r="J334" s="686"/>
      <c r="K334" s="686"/>
      <c r="L334" s="702" t="s">
        <v>392</v>
      </c>
      <c r="M334" s="703">
        <f ca="1">IF(VLOOKUP($L334,Data!$C:$H,1,TRUE)=$L334,VLOOKUP($L334,Data!$C:$H,6,TRUE),NA())</f>
        <v>0</v>
      </c>
      <c r="N334" s="466"/>
      <c r="O334" s="467"/>
      <c r="P334" s="297"/>
      <c r="Q334" s="297"/>
      <c r="R334" s="297"/>
      <c r="S334" s="297"/>
      <c r="T334" s="467"/>
    </row>
    <row r="335" spans="1:20" ht="14" customHeight="1" x14ac:dyDescent="0.25">
      <c r="A335" s="332"/>
      <c r="B335" s="461"/>
      <c r="C335" s="686"/>
      <c r="H335" s="686"/>
      <c r="I335" s="686"/>
      <c r="J335" s="686"/>
      <c r="K335" s="686"/>
      <c r="L335" s="702" t="s">
        <v>393</v>
      </c>
      <c r="M335" s="703">
        <f ca="1">IF(VLOOKUP($L335,Data!$C:$H,1,TRUE)=$L335,VLOOKUP($L335,Data!$C:$H,6,TRUE),NA())</f>
        <v>0</v>
      </c>
      <c r="N335" s="466"/>
      <c r="O335" s="467"/>
      <c r="P335" s="297"/>
      <c r="Q335" s="297"/>
      <c r="R335" s="297"/>
      <c r="S335" s="297"/>
      <c r="T335" s="467"/>
    </row>
    <row r="336" spans="1:20" ht="14" customHeight="1" x14ac:dyDescent="0.25">
      <c r="A336" s="332"/>
      <c r="B336" s="461"/>
      <c r="C336" s="686"/>
      <c r="H336" s="686"/>
      <c r="I336" s="686"/>
      <c r="J336" s="686"/>
      <c r="K336" s="686"/>
      <c r="L336" s="702" t="s">
        <v>394</v>
      </c>
      <c r="M336" s="703">
        <f ca="1">IF(VLOOKUP($L336,Data!$C:$H,1,TRUE)=$L336,VLOOKUP($L336,Data!$C:$H,6,TRUE),NA())</f>
        <v>0</v>
      </c>
      <c r="N336" s="466"/>
      <c r="O336" s="467"/>
      <c r="P336" s="297"/>
      <c r="Q336" s="297"/>
      <c r="R336" s="297"/>
      <c r="S336" s="297"/>
      <c r="T336" s="467"/>
    </row>
    <row r="337" spans="1:20" ht="14" customHeight="1" x14ac:dyDescent="0.25">
      <c r="A337" s="332"/>
      <c r="B337" s="461"/>
      <c r="C337" s="686"/>
      <c r="H337" s="686"/>
      <c r="I337" s="686"/>
      <c r="J337" s="686"/>
      <c r="K337" s="686"/>
      <c r="L337" s="702" t="s">
        <v>395</v>
      </c>
      <c r="M337" s="703">
        <f ca="1">IF(VLOOKUP($L337,Data!$C:$H,1,TRUE)=$L337,VLOOKUP($L337,Data!$C:$H,6,TRUE),NA())</f>
        <v>0</v>
      </c>
      <c r="N337" s="466"/>
      <c r="O337" s="467"/>
      <c r="P337" s="297"/>
      <c r="Q337" s="297"/>
      <c r="R337" s="297"/>
      <c r="S337" s="297"/>
      <c r="T337" s="467"/>
    </row>
    <row r="338" spans="1:20" ht="14" customHeight="1" x14ac:dyDescent="0.25">
      <c r="A338" s="332"/>
      <c r="B338" s="461"/>
      <c r="C338" s="686"/>
      <c r="H338" s="686"/>
      <c r="I338" s="686"/>
      <c r="J338" s="686"/>
      <c r="K338" s="686"/>
      <c r="L338" s="702" t="s">
        <v>396</v>
      </c>
      <c r="M338" s="703">
        <f ca="1">IF(VLOOKUP($L338,Data!$C:$H,1,TRUE)=$L338,VLOOKUP($L338,Data!$C:$H,6,TRUE),NA())</f>
        <v>0</v>
      </c>
      <c r="N338" s="466"/>
      <c r="O338" s="467"/>
      <c r="P338" s="297"/>
      <c r="Q338" s="297"/>
      <c r="R338" s="297"/>
      <c r="S338" s="297"/>
      <c r="T338" s="467"/>
    </row>
    <row r="339" spans="1:20" ht="14" customHeight="1" x14ac:dyDescent="0.25">
      <c r="A339" s="332"/>
      <c r="B339" s="461"/>
      <c r="C339" s="686"/>
      <c r="H339" s="686"/>
      <c r="I339" s="686"/>
      <c r="J339" s="686"/>
      <c r="K339" s="686"/>
      <c r="L339" s="702" t="s">
        <v>397</v>
      </c>
      <c r="M339" s="703">
        <f ca="1">IF(VLOOKUP($L339,Data!$C:$H,1,TRUE)=$L339,VLOOKUP($L339,Data!$C:$H,6,TRUE),NA())</f>
        <v>0</v>
      </c>
      <c r="N339" s="466"/>
      <c r="O339" s="467"/>
      <c r="P339" s="297"/>
      <c r="Q339" s="297"/>
      <c r="R339" s="297"/>
      <c r="S339" s="297"/>
      <c r="T339" s="467"/>
    </row>
    <row r="340" spans="1:20" ht="14" customHeight="1" x14ac:dyDescent="0.25">
      <c r="A340" s="332"/>
      <c r="B340" s="461"/>
      <c r="C340" s="686"/>
      <c r="H340" s="686"/>
      <c r="I340" s="686"/>
      <c r="J340" s="686"/>
      <c r="K340" s="686"/>
      <c r="L340" s="702" t="s">
        <v>398</v>
      </c>
      <c r="M340" s="703">
        <f ca="1">IF(VLOOKUP($L340,Data!$C:$H,1,TRUE)=$L340,VLOOKUP($L340,Data!$C:$H,6,TRUE),NA())</f>
        <v>0</v>
      </c>
      <c r="N340" s="466"/>
      <c r="O340" s="467"/>
      <c r="P340" s="297"/>
      <c r="Q340" s="297"/>
      <c r="R340" s="297"/>
      <c r="S340" s="297"/>
      <c r="T340" s="467"/>
    </row>
    <row r="341" spans="1:20" ht="14" customHeight="1" x14ac:dyDescent="0.25">
      <c r="A341" s="332"/>
      <c r="B341" s="461"/>
      <c r="C341" s="686"/>
      <c r="H341" s="686"/>
      <c r="I341" s="686"/>
      <c r="J341" s="686"/>
      <c r="K341" s="686"/>
      <c r="L341" s="702" t="s">
        <v>399</v>
      </c>
      <c r="M341" s="703">
        <f ca="1">IF(VLOOKUP($L341,Data!$C:$H,1,TRUE)=$L341,VLOOKUP($L341,Data!$C:$H,6,TRUE),NA())</f>
        <v>0</v>
      </c>
      <c r="N341" s="466"/>
      <c r="O341" s="467"/>
      <c r="P341" s="297"/>
      <c r="Q341" s="297"/>
      <c r="R341" s="297"/>
      <c r="S341" s="297"/>
      <c r="T341" s="467"/>
    </row>
    <row r="342" spans="1:20" ht="14" customHeight="1" x14ac:dyDescent="0.25">
      <c r="A342" s="332"/>
      <c r="B342" s="461"/>
      <c r="C342" s="686"/>
      <c r="H342" s="686"/>
      <c r="I342" s="686"/>
      <c r="J342" s="686"/>
      <c r="K342" s="686"/>
      <c r="L342" s="702" t="s">
        <v>400</v>
      </c>
      <c r="M342" s="703">
        <f ca="1">IF(VLOOKUP($L342,Data!$C:$H,1,TRUE)=$L342,VLOOKUP($L342,Data!$C:$H,6,TRUE),NA())</f>
        <v>0</v>
      </c>
      <c r="N342" s="466"/>
      <c r="O342" s="467"/>
      <c r="P342" s="297"/>
      <c r="Q342" s="297"/>
      <c r="R342" s="297"/>
      <c r="S342" s="297"/>
      <c r="T342" s="467"/>
    </row>
    <row r="343" spans="1:20" ht="14" customHeight="1" x14ac:dyDescent="0.25">
      <c r="A343" s="332"/>
      <c r="B343" s="461"/>
      <c r="C343" s="686"/>
      <c r="H343" s="686"/>
      <c r="I343" s="686"/>
      <c r="J343" s="686"/>
      <c r="K343" s="686"/>
      <c r="L343" s="702" t="s">
        <v>401</v>
      </c>
      <c r="M343" s="703">
        <f ca="1">IF(VLOOKUP($L343,Data!$C:$H,1,TRUE)=$L343,VLOOKUP($L343,Data!$C:$H,6,TRUE),NA())</f>
        <v>0</v>
      </c>
      <c r="N343" s="466"/>
      <c r="O343" s="467"/>
      <c r="P343" s="297"/>
      <c r="Q343" s="297"/>
      <c r="R343" s="297"/>
      <c r="S343" s="297"/>
      <c r="T343" s="467"/>
    </row>
    <row r="344" spans="1:20" ht="14" customHeight="1" x14ac:dyDescent="0.25">
      <c r="A344" s="332"/>
      <c r="B344" s="461"/>
      <c r="C344" s="686"/>
      <c r="H344" s="686"/>
      <c r="I344" s="686"/>
      <c r="J344" s="686"/>
      <c r="K344" s="686"/>
      <c r="L344" s="702" t="s">
        <v>402</v>
      </c>
      <c r="M344" s="703">
        <f ca="1">IF(VLOOKUP($L344,Data!$C:$H,1,TRUE)=$L344,VLOOKUP($L344,Data!$C:$H,6,TRUE),NA())</f>
        <v>0</v>
      </c>
      <c r="N344" s="466"/>
      <c r="O344" s="467"/>
      <c r="P344" s="297"/>
      <c r="Q344" s="297"/>
      <c r="R344" s="297"/>
      <c r="S344" s="297"/>
      <c r="T344" s="467"/>
    </row>
    <row r="345" spans="1:20" ht="14" customHeight="1" x14ac:dyDescent="0.25">
      <c r="A345" s="332"/>
      <c r="B345" s="461"/>
      <c r="C345" s="686"/>
      <c r="H345" s="686"/>
      <c r="I345" s="686"/>
      <c r="J345" s="686"/>
      <c r="K345" s="686"/>
      <c r="L345" s="702" t="s">
        <v>403</v>
      </c>
      <c r="M345" s="703">
        <f ca="1">IF(VLOOKUP($L345,Data!$C:$H,1,TRUE)=$L345,VLOOKUP($L345,Data!$C:$H,6,TRUE),NA())</f>
        <v>0</v>
      </c>
      <c r="N345" s="466"/>
      <c r="O345" s="467"/>
      <c r="P345" s="297"/>
      <c r="Q345" s="297"/>
      <c r="R345" s="297"/>
      <c r="S345" s="297"/>
      <c r="T345" s="467"/>
    </row>
    <row r="346" spans="1:20" ht="14" customHeight="1" x14ac:dyDescent="0.25">
      <c r="A346" s="332"/>
      <c r="B346" s="461"/>
      <c r="C346" s="686"/>
      <c r="H346" s="686"/>
      <c r="I346" s="686"/>
      <c r="J346" s="686"/>
      <c r="K346" s="686"/>
      <c r="L346" s="702" t="s">
        <v>404</v>
      </c>
      <c r="M346" s="703">
        <f ca="1">IF(VLOOKUP($L346,Data!$C:$H,1,TRUE)=$L346,VLOOKUP($L346,Data!$C:$H,6,TRUE),NA())</f>
        <v>0</v>
      </c>
      <c r="N346" s="466"/>
      <c r="O346" s="467"/>
      <c r="P346" s="297"/>
      <c r="Q346" s="297"/>
      <c r="R346" s="297"/>
      <c r="S346" s="297"/>
      <c r="T346" s="467"/>
    </row>
    <row r="347" spans="1:20" ht="14" customHeight="1" x14ac:dyDescent="0.25">
      <c r="A347" s="332"/>
      <c r="B347" s="461"/>
      <c r="C347" s="686"/>
      <c r="H347" s="686"/>
      <c r="I347" s="686"/>
      <c r="J347" s="686"/>
      <c r="K347" s="686"/>
      <c r="L347" s="702" t="s">
        <v>405</v>
      </c>
      <c r="M347" s="703">
        <f ca="1">IF(VLOOKUP($L347,Data!$C:$H,1,TRUE)=$L347,VLOOKUP($L347,Data!$C:$H,6,TRUE),NA())</f>
        <v>0</v>
      </c>
      <c r="N347" s="466"/>
      <c r="O347" s="467"/>
      <c r="P347" s="297"/>
      <c r="Q347" s="297"/>
      <c r="R347" s="297"/>
      <c r="S347" s="297"/>
      <c r="T347" s="467"/>
    </row>
    <row r="348" spans="1:20" ht="14" customHeight="1" x14ac:dyDescent="0.25">
      <c r="A348" s="332"/>
      <c r="B348" s="461"/>
      <c r="C348" s="686"/>
      <c r="H348" s="686"/>
      <c r="I348" s="686"/>
      <c r="J348" s="686"/>
      <c r="K348" s="686"/>
      <c r="L348" s="702" t="s">
        <v>406</v>
      </c>
      <c r="M348" s="703">
        <f ca="1">IF(VLOOKUP($L348,Data!$C:$H,1,TRUE)=$L348,VLOOKUP($L348,Data!$C:$H,6,TRUE),NA())</f>
        <v>0</v>
      </c>
      <c r="N348" s="466"/>
      <c r="O348" s="467"/>
      <c r="P348" s="297"/>
      <c r="Q348" s="297"/>
      <c r="R348" s="297"/>
      <c r="S348" s="297"/>
      <c r="T348" s="467"/>
    </row>
    <row r="349" spans="1:20" ht="14" customHeight="1" x14ac:dyDescent="0.25">
      <c r="A349" s="332"/>
      <c r="B349" s="461"/>
      <c r="C349" s="686"/>
      <c r="H349" s="686"/>
      <c r="I349" s="686"/>
      <c r="J349" s="686"/>
      <c r="K349" s="686"/>
      <c r="L349" s="702" t="s">
        <v>407</v>
      </c>
      <c r="M349" s="703">
        <f ca="1">IF(VLOOKUP($L349,Data!$C:$H,1,TRUE)=$L349,VLOOKUP($L349,Data!$C:$H,6,TRUE),NA())</f>
        <v>0</v>
      </c>
      <c r="N349" s="466"/>
      <c r="O349" s="467"/>
      <c r="P349" s="297"/>
      <c r="Q349" s="297"/>
      <c r="R349" s="297"/>
      <c r="S349" s="297"/>
      <c r="T349" s="467"/>
    </row>
    <row r="350" spans="1:20" ht="14" customHeight="1" x14ac:dyDescent="0.25">
      <c r="A350" s="332"/>
      <c r="B350" s="461"/>
      <c r="C350" s="686"/>
      <c r="H350" s="686"/>
      <c r="I350" s="686"/>
      <c r="J350" s="686"/>
      <c r="K350" s="686"/>
      <c r="L350" s="702" t="s">
        <v>408</v>
      </c>
      <c r="M350" s="703">
        <f ca="1">IF(VLOOKUP($L350,Data!$C:$H,1,TRUE)=$L350,VLOOKUP($L350,Data!$C:$H,6,TRUE),NA())</f>
        <v>0</v>
      </c>
      <c r="N350" s="466"/>
      <c r="O350" s="467"/>
      <c r="P350" s="297"/>
      <c r="Q350" s="297"/>
      <c r="R350" s="297"/>
      <c r="S350" s="297"/>
      <c r="T350" s="467"/>
    </row>
    <row r="351" spans="1:20" ht="14" customHeight="1" x14ac:dyDescent="0.25">
      <c r="A351" s="332"/>
      <c r="B351" s="461"/>
      <c r="C351" s="686"/>
      <c r="H351" s="686"/>
      <c r="I351" s="686"/>
      <c r="J351" s="686"/>
      <c r="K351" s="686"/>
      <c r="L351" s="702" t="s">
        <v>409</v>
      </c>
      <c r="M351" s="703">
        <f ca="1">IF(VLOOKUP($L351,Data!$C:$H,1,TRUE)=$L351,VLOOKUP($L351,Data!$C:$H,6,TRUE),NA())</f>
        <v>0</v>
      </c>
      <c r="N351" s="466"/>
      <c r="O351" s="467"/>
      <c r="P351" s="297"/>
      <c r="Q351" s="297"/>
      <c r="R351" s="297"/>
      <c r="S351" s="297"/>
      <c r="T351" s="467"/>
    </row>
    <row r="352" spans="1:20" ht="14" customHeight="1" x14ac:dyDescent="0.25">
      <c r="A352" s="332"/>
      <c r="B352" s="461"/>
      <c r="C352" s="686"/>
      <c r="H352" s="686"/>
      <c r="I352" s="686"/>
      <c r="J352" s="686"/>
      <c r="K352" s="686"/>
      <c r="L352" s="702" t="s">
        <v>410</v>
      </c>
      <c r="M352" s="703">
        <f ca="1">IF(VLOOKUP($L352,Data!$C:$H,1,TRUE)=$L352,VLOOKUP($L352,Data!$C:$H,6,TRUE),NA())</f>
        <v>0</v>
      </c>
      <c r="N352" s="466"/>
      <c r="O352" s="467"/>
      <c r="P352" s="297"/>
      <c r="Q352" s="297"/>
      <c r="R352" s="297"/>
      <c r="S352" s="297"/>
      <c r="T352" s="467"/>
    </row>
    <row r="353" spans="1:20" ht="14" customHeight="1" x14ac:dyDescent="0.25">
      <c r="A353" s="332"/>
      <c r="B353" s="461"/>
      <c r="C353" s="686"/>
      <c r="K353" s="686"/>
      <c r="L353" s="702" t="s">
        <v>411</v>
      </c>
      <c r="M353" s="703">
        <f ca="1">IF(VLOOKUP($L353,Data!$C:$H,1,TRUE)=$L353,VLOOKUP($L353,Data!$C:$H,6,TRUE),NA())</f>
        <v>0</v>
      </c>
      <c r="N353" s="466"/>
      <c r="O353" s="467"/>
      <c r="P353" s="297"/>
      <c r="Q353" s="297"/>
      <c r="R353" s="297"/>
      <c r="S353" s="297"/>
      <c r="T353" s="467"/>
    </row>
    <row r="354" spans="1:20" ht="14" customHeight="1" x14ac:dyDescent="0.25">
      <c r="A354" s="332"/>
      <c r="B354" s="461"/>
      <c r="C354" s="686"/>
      <c r="K354" s="704"/>
      <c r="L354" s="702" t="s">
        <v>412</v>
      </c>
      <c r="M354" s="703">
        <f ca="1">IF(VLOOKUP($L354,Data!$C:$H,1,TRUE)=$L354,VLOOKUP($L354,Data!$C:$H,6,TRUE),NA())</f>
        <v>0</v>
      </c>
      <c r="N354" s="466"/>
      <c r="O354" s="467"/>
      <c r="P354" s="297"/>
      <c r="Q354" s="297"/>
      <c r="R354" s="297"/>
      <c r="S354" s="297"/>
      <c r="T354" s="467"/>
    </row>
    <row r="355" spans="1:20" ht="14" customHeight="1" x14ac:dyDescent="0.25">
      <c r="A355" s="332"/>
      <c r="B355" s="461"/>
      <c r="C355" s="686"/>
      <c r="K355" s="704"/>
      <c r="L355" s="702" t="s">
        <v>413</v>
      </c>
      <c r="M355" s="703">
        <f ca="1">IF(VLOOKUP($L355,Data!$C:$H,1,TRUE)=$L355,VLOOKUP($L355,Data!$C:$H,6,TRUE),NA())</f>
        <v>0</v>
      </c>
      <c r="N355" s="466"/>
      <c r="O355" s="467"/>
      <c r="P355" s="297"/>
      <c r="Q355" s="297"/>
      <c r="R355" s="297"/>
      <c r="S355" s="297"/>
      <c r="T355" s="467"/>
    </row>
    <row r="356" spans="1:20" ht="14" customHeight="1" x14ac:dyDescent="0.25">
      <c r="A356" s="332"/>
      <c r="B356" s="461"/>
      <c r="C356" s="686"/>
      <c r="L356" s="702" t="s">
        <v>415</v>
      </c>
      <c r="M356" s="703">
        <f ca="1">IF(VLOOKUP($L356,Data!$C:$H,1,TRUE)=$L356,VLOOKUP($L356,Data!$C:$H,6,TRUE),NA())</f>
        <v>0</v>
      </c>
      <c r="N356" s="466"/>
      <c r="O356" s="467"/>
      <c r="P356" s="297"/>
      <c r="Q356" s="297"/>
      <c r="R356" s="297"/>
      <c r="S356" s="297"/>
      <c r="T356" s="467"/>
    </row>
    <row r="357" spans="1:20" ht="14" customHeight="1" x14ac:dyDescent="0.25">
      <c r="A357" s="332"/>
      <c r="B357" s="461"/>
      <c r="C357" s="686"/>
      <c r="L357" s="702" t="s">
        <v>417</v>
      </c>
      <c r="M357" s="703">
        <f ca="1">IF(VLOOKUP($L357,Data!$C:$H,1,TRUE)=$L357,VLOOKUP($L357,Data!$C:$H,6,TRUE),NA())</f>
        <v>0</v>
      </c>
      <c r="N357" s="466"/>
      <c r="O357" s="467"/>
      <c r="P357" s="297"/>
      <c r="Q357" s="297"/>
      <c r="R357" s="297"/>
      <c r="S357" s="297"/>
      <c r="T357" s="467"/>
    </row>
    <row r="358" spans="1:20" ht="14" customHeight="1" x14ac:dyDescent="0.25">
      <c r="A358" s="332"/>
      <c r="B358" s="461"/>
      <c r="C358" s="686"/>
      <c r="L358" s="702" t="s">
        <v>419</v>
      </c>
      <c r="M358" s="703">
        <f ca="1">IF(VLOOKUP($L358,Data!$C:$H,1,TRUE)=$L358,VLOOKUP($L358,Data!$C:$H,6,TRUE),NA())</f>
        <v>0</v>
      </c>
      <c r="N358" s="466"/>
      <c r="O358" s="467"/>
      <c r="P358" s="297"/>
      <c r="Q358" s="297"/>
      <c r="R358" s="297"/>
      <c r="S358" s="297"/>
      <c r="T358" s="467"/>
    </row>
    <row r="359" spans="1:20" ht="14" customHeight="1" x14ac:dyDescent="0.25">
      <c r="A359" s="332"/>
      <c r="B359" s="461"/>
      <c r="C359" s="686"/>
      <c r="L359" s="702" t="s">
        <v>420</v>
      </c>
      <c r="M359" s="703">
        <f ca="1">IF(VLOOKUP($L359,Data!$C:$H,1,TRUE)=$L359,VLOOKUP($L359,Data!$C:$H,6,TRUE),NA())</f>
        <v>0</v>
      </c>
      <c r="N359" s="466"/>
      <c r="O359" s="467"/>
      <c r="P359" s="297"/>
      <c r="Q359" s="297"/>
      <c r="R359" s="297"/>
      <c r="S359" s="297"/>
      <c r="T359" s="467"/>
    </row>
    <row r="360" spans="1:20" ht="14" customHeight="1" x14ac:dyDescent="0.25">
      <c r="A360" s="332"/>
      <c r="B360" s="461"/>
      <c r="C360" s="686"/>
      <c r="L360" s="702" t="s">
        <v>421</v>
      </c>
      <c r="M360" s="703">
        <f ca="1">IF(VLOOKUP($L360,Data!$C:$H,1,TRUE)=$L360,VLOOKUP($L360,Data!$C:$H,6,TRUE),NA())</f>
        <v>0</v>
      </c>
      <c r="N360" s="466"/>
      <c r="O360" s="467"/>
      <c r="P360" s="297"/>
      <c r="Q360" s="297"/>
      <c r="R360" s="297"/>
      <c r="S360" s="297"/>
      <c r="T360" s="467"/>
    </row>
    <row r="361" spans="1:20" ht="14" customHeight="1" x14ac:dyDescent="0.25">
      <c r="A361" s="332"/>
      <c r="B361" s="461"/>
      <c r="C361" s="686"/>
      <c r="L361" s="702" t="s">
        <v>422</v>
      </c>
      <c r="M361" s="703">
        <f ca="1">IF(VLOOKUP($L361,Data!$C:$H,1,TRUE)=$L361,VLOOKUP($L361,Data!$C:$H,6,TRUE),NA())</f>
        <v>0</v>
      </c>
      <c r="N361" s="466"/>
      <c r="O361" s="467"/>
      <c r="P361" s="297"/>
      <c r="Q361" s="297"/>
      <c r="R361" s="297"/>
      <c r="S361" s="297"/>
      <c r="T361" s="467"/>
    </row>
    <row r="362" spans="1:20" ht="14" customHeight="1" x14ac:dyDescent="0.25">
      <c r="A362" s="332"/>
      <c r="B362" s="461"/>
      <c r="C362" s="686"/>
      <c r="L362" s="702" t="s">
        <v>423</v>
      </c>
      <c r="M362" s="703">
        <f ca="1">IF(VLOOKUP($L362,Data!$C:$H,1,TRUE)=$L362,VLOOKUP($L362,Data!$C:$H,6,TRUE),NA())</f>
        <v>0</v>
      </c>
      <c r="N362" s="466"/>
      <c r="O362" s="467"/>
      <c r="P362" s="297"/>
      <c r="Q362" s="297"/>
      <c r="R362" s="297"/>
      <c r="S362" s="297"/>
      <c r="T362" s="467"/>
    </row>
    <row r="363" spans="1:20" ht="14" customHeight="1" x14ac:dyDescent="0.25">
      <c r="A363" s="332"/>
      <c r="B363" s="461"/>
      <c r="C363" s="686"/>
      <c r="L363" s="702" t="s">
        <v>424</v>
      </c>
      <c r="M363" s="703">
        <f ca="1">IF(VLOOKUP($L363,Data!$C:$H,1,TRUE)=$L363,VLOOKUP($L363,Data!$C:$H,6,TRUE),NA())</f>
        <v>0</v>
      </c>
      <c r="N363" s="466"/>
      <c r="O363" s="467"/>
      <c r="P363" s="297"/>
      <c r="Q363" s="297"/>
      <c r="R363" s="297"/>
      <c r="S363" s="297"/>
      <c r="T363" s="467"/>
    </row>
    <row r="364" spans="1:20" ht="14" customHeight="1" x14ac:dyDescent="0.25">
      <c r="A364" s="332"/>
      <c r="B364" s="461"/>
      <c r="C364" s="686"/>
      <c r="L364" s="702" t="s">
        <v>1779</v>
      </c>
      <c r="M364" s="703">
        <f ca="1">IF(VLOOKUP($L364,Data!$C:$H,1,TRUE)=$L364,VLOOKUP($L364,Data!$C:$H,6,TRUE),NA())</f>
        <v>0</v>
      </c>
      <c r="N364" s="466"/>
      <c r="O364" s="467"/>
      <c r="P364" s="297"/>
      <c r="Q364" s="297"/>
      <c r="R364" s="297"/>
      <c r="S364" s="297"/>
      <c r="T364" s="467"/>
    </row>
    <row r="365" spans="1:20" ht="14" customHeight="1" x14ac:dyDescent="0.25">
      <c r="A365" s="332"/>
      <c r="B365" s="461"/>
      <c r="C365" s="686"/>
      <c r="L365" s="702" t="s">
        <v>425</v>
      </c>
      <c r="M365" s="703">
        <f ca="1">IF(VLOOKUP($L365,Data!$C:$H,1,TRUE)=$L365,VLOOKUP($L365,Data!$C:$H,6,TRUE),NA())</f>
        <v>0</v>
      </c>
      <c r="N365" s="466"/>
      <c r="O365" s="467"/>
      <c r="P365" s="297"/>
      <c r="Q365" s="297"/>
      <c r="R365" s="297"/>
      <c r="S365" s="297"/>
      <c r="T365" s="467"/>
    </row>
    <row r="366" spans="1:20" ht="14" customHeight="1" x14ac:dyDescent="0.25">
      <c r="A366" s="332"/>
      <c r="B366" s="461"/>
      <c r="C366" s="686"/>
      <c r="L366" s="702" t="s">
        <v>426</v>
      </c>
      <c r="M366" s="703">
        <f ca="1">IF(VLOOKUP($L366,Data!$C:$H,1,TRUE)=$L366,VLOOKUP($L366,Data!$C:$H,6,TRUE),NA())</f>
        <v>0</v>
      </c>
      <c r="N366" s="466"/>
      <c r="O366" s="467"/>
      <c r="P366" s="297"/>
      <c r="Q366" s="297"/>
      <c r="R366" s="297"/>
      <c r="S366" s="297"/>
      <c r="T366" s="467"/>
    </row>
    <row r="367" spans="1:20" ht="14" customHeight="1" x14ac:dyDescent="0.25">
      <c r="A367" s="332"/>
      <c r="B367" s="461"/>
      <c r="C367" s="686"/>
      <c r="L367" s="702" t="s">
        <v>427</v>
      </c>
      <c r="M367" s="703">
        <f ca="1">IF(VLOOKUP($L367,Data!$C:$H,1,TRUE)=$L367,VLOOKUP($L367,Data!$C:$H,6,TRUE),NA())</f>
        <v>0</v>
      </c>
      <c r="N367" s="466"/>
      <c r="O367" s="467"/>
      <c r="P367" s="297"/>
      <c r="Q367" s="297"/>
      <c r="R367" s="297"/>
      <c r="S367" s="297"/>
      <c r="T367" s="467"/>
    </row>
    <row r="368" spans="1:20" ht="14" customHeight="1" x14ac:dyDescent="0.25">
      <c r="A368" s="332"/>
      <c r="B368" s="461"/>
      <c r="C368" s="686"/>
      <c r="L368" s="702" t="s">
        <v>428</v>
      </c>
      <c r="M368" s="703">
        <f ca="1">IF(VLOOKUP($L368,Data!$C:$H,1,TRUE)=$L368,VLOOKUP($L368,Data!$C:$H,6,TRUE),NA())</f>
        <v>0</v>
      </c>
      <c r="N368" s="466"/>
      <c r="O368" s="467"/>
      <c r="P368" s="297"/>
      <c r="Q368" s="297"/>
      <c r="R368" s="297"/>
      <c r="S368" s="297"/>
      <c r="T368" s="467"/>
    </row>
    <row r="369" spans="1:20" ht="14" customHeight="1" x14ac:dyDescent="0.25">
      <c r="A369" s="332"/>
      <c r="B369" s="461"/>
      <c r="C369" s="686"/>
      <c r="L369" s="702" t="s">
        <v>429</v>
      </c>
      <c r="M369" s="703">
        <f ca="1">IF(VLOOKUP($L369,Data!$C:$H,1,TRUE)=$L369,VLOOKUP($L369,Data!$C:$H,6,TRUE),NA())</f>
        <v>0</v>
      </c>
      <c r="N369" s="466"/>
      <c r="O369" s="467"/>
      <c r="P369" s="297"/>
      <c r="Q369" s="297"/>
      <c r="R369" s="297"/>
      <c r="S369" s="297"/>
      <c r="T369" s="467"/>
    </row>
    <row r="370" spans="1:20" ht="14" customHeight="1" x14ac:dyDescent="0.25">
      <c r="A370" s="332"/>
      <c r="B370" s="461"/>
      <c r="C370" s="686"/>
      <c r="L370" s="702" t="s">
        <v>430</v>
      </c>
      <c r="M370" s="703">
        <f ca="1">IF(VLOOKUP($L370,Data!$C:$H,1,TRUE)=$L370,VLOOKUP($L370,Data!$C:$H,6,TRUE),NA())</f>
        <v>0</v>
      </c>
      <c r="N370" s="466"/>
      <c r="O370" s="467"/>
      <c r="P370" s="297"/>
      <c r="Q370" s="297"/>
      <c r="R370" s="297"/>
      <c r="S370" s="297"/>
      <c r="T370" s="467"/>
    </row>
    <row r="371" spans="1:20" ht="14" customHeight="1" x14ac:dyDescent="0.25">
      <c r="A371" s="332"/>
      <c r="B371" s="461"/>
      <c r="C371" s="686"/>
      <c r="L371" s="702" t="s">
        <v>431</v>
      </c>
      <c r="M371" s="703">
        <f ca="1">IF(VLOOKUP($L371,Data!$C:$H,1,TRUE)=$L371,VLOOKUP($L371,Data!$C:$H,6,TRUE),NA())</f>
        <v>0</v>
      </c>
      <c r="N371" s="466"/>
      <c r="O371" s="467"/>
      <c r="P371" s="297"/>
      <c r="Q371" s="297"/>
      <c r="R371" s="297"/>
      <c r="S371" s="297"/>
      <c r="T371" s="467"/>
    </row>
    <row r="372" spans="1:20" ht="14" customHeight="1" x14ac:dyDescent="0.25">
      <c r="A372" s="332"/>
      <c r="B372" s="461"/>
      <c r="C372" s="686"/>
      <c r="L372" s="702" t="s">
        <v>432</v>
      </c>
      <c r="M372" s="703">
        <f ca="1">IF(VLOOKUP($L372,Data!$C:$H,1,TRUE)=$L372,VLOOKUP($L372,Data!$C:$H,6,TRUE),NA())</f>
        <v>0</v>
      </c>
      <c r="N372" s="466"/>
      <c r="O372" s="467"/>
      <c r="P372" s="297"/>
      <c r="Q372" s="297"/>
      <c r="R372" s="297"/>
      <c r="S372" s="297"/>
      <c r="T372" s="467"/>
    </row>
    <row r="373" spans="1:20" ht="14" customHeight="1" x14ac:dyDescent="0.25">
      <c r="A373" s="332"/>
      <c r="B373" s="461"/>
      <c r="C373" s="686"/>
      <c r="L373" s="702" t="s">
        <v>433</v>
      </c>
      <c r="M373" s="703">
        <f ca="1">IF(VLOOKUP($L373,Data!$C:$H,1,TRUE)=$L373,VLOOKUP($L373,Data!$C:$H,6,TRUE),NA())</f>
        <v>0</v>
      </c>
      <c r="N373" s="466"/>
      <c r="O373" s="467"/>
      <c r="P373" s="297"/>
      <c r="Q373" s="297"/>
      <c r="R373" s="297"/>
      <c r="S373" s="297"/>
      <c r="T373" s="467"/>
    </row>
    <row r="374" spans="1:20" ht="14" customHeight="1" x14ac:dyDescent="0.25">
      <c r="A374" s="332"/>
      <c r="B374" s="461"/>
      <c r="C374" s="686"/>
      <c r="L374" s="702" t="s">
        <v>434</v>
      </c>
      <c r="M374" s="703">
        <f ca="1">IF(VLOOKUP($L374,Data!$C:$H,1,TRUE)=$L374,VLOOKUP($L374,Data!$C:$H,6,TRUE),NA())</f>
        <v>0</v>
      </c>
      <c r="N374" s="466"/>
      <c r="O374" s="467"/>
      <c r="P374" s="297"/>
      <c r="Q374" s="297"/>
      <c r="R374" s="297"/>
      <c r="S374" s="297"/>
      <c r="T374" s="467"/>
    </row>
    <row r="375" spans="1:20" ht="14" customHeight="1" x14ac:dyDescent="0.25">
      <c r="A375" s="332"/>
      <c r="B375" s="461"/>
      <c r="C375" s="686"/>
      <c r="L375" s="702" t="s">
        <v>435</v>
      </c>
      <c r="M375" s="703">
        <f ca="1">IF(VLOOKUP($L375,Data!$C:$H,1,TRUE)=$L375,VLOOKUP($L375,Data!$C:$H,6,TRUE),NA())</f>
        <v>0</v>
      </c>
      <c r="N375" s="466"/>
      <c r="O375" s="467"/>
      <c r="P375" s="297"/>
      <c r="Q375" s="297"/>
      <c r="R375" s="297"/>
      <c r="S375" s="297"/>
      <c r="T375" s="467"/>
    </row>
    <row r="376" spans="1:20" ht="14" customHeight="1" x14ac:dyDescent="0.25">
      <c r="A376" s="332"/>
      <c r="B376" s="461"/>
      <c r="C376" s="686"/>
      <c r="L376" s="702" t="s">
        <v>436</v>
      </c>
      <c r="M376" s="703">
        <f ca="1">IF(VLOOKUP($L376,Data!$C:$H,1,TRUE)=$L376,VLOOKUP($L376,Data!$C:$H,6,TRUE),NA())</f>
        <v>0</v>
      </c>
      <c r="N376" s="466"/>
      <c r="O376" s="467"/>
      <c r="P376" s="297"/>
      <c r="Q376" s="297"/>
      <c r="R376" s="297"/>
      <c r="S376" s="297"/>
      <c r="T376" s="467"/>
    </row>
    <row r="377" spans="1:20" ht="14" customHeight="1" x14ac:dyDescent="0.25">
      <c r="A377" s="332"/>
      <c r="B377" s="461"/>
      <c r="C377" s="686"/>
      <c r="L377" s="702" t="s">
        <v>437</v>
      </c>
      <c r="M377" s="703">
        <f ca="1">IF(VLOOKUP($L377,Data!$C:$H,1,TRUE)=$L377,VLOOKUP($L377,Data!$C:$H,6,TRUE),NA())</f>
        <v>0</v>
      </c>
      <c r="N377" s="466"/>
      <c r="O377" s="467"/>
      <c r="P377" s="297"/>
      <c r="Q377" s="297"/>
      <c r="R377" s="297"/>
      <c r="S377" s="297"/>
      <c r="T377" s="467"/>
    </row>
    <row r="378" spans="1:20" ht="14" customHeight="1" x14ac:dyDescent="0.25">
      <c r="A378" s="332"/>
      <c r="B378" s="461"/>
      <c r="C378" s="686"/>
      <c r="L378" s="702" t="s">
        <v>438</v>
      </c>
      <c r="M378" s="703">
        <f ca="1">IF(VLOOKUP($L378,Data!$C:$H,1,TRUE)=$L378,VLOOKUP($L378,Data!$C:$H,6,TRUE),NA())</f>
        <v>0</v>
      </c>
      <c r="N378" s="466"/>
      <c r="O378" s="467"/>
      <c r="P378" s="297"/>
      <c r="Q378" s="297"/>
      <c r="R378" s="297"/>
      <c r="S378" s="297"/>
      <c r="T378" s="467"/>
    </row>
    <row r="379" spans="1:20" ht="14" customHeight="1" x14ac:dyDescent="0.25">
      <c r="A379" s="332"/>
      <c r="B379" s="461"/>
      <c r="C379" s="686"/>
      <c r="L379" s="702" t="s">
        <v>439</v>
      </c>
      <c r="M379" s="703">
        <f ca="1">IF(VLOOKUP($L379,Data!$C:$H,1,TRUE)=$L379,VLOOKUP($L379,Data!$C:$H,6,TRUE),NA())</f>
        <v>0</v>
      </c>
      <c r="N379" s="466"/>
      <c r="O379" s="467"/>
      <c r="P379" s="297"/>
      <c r="Q379" s="297"/>
      <c r="R379" s="297"/>
      <c r="S379" s="297"/>
      <c r="T379" s="467"/>
    </row>
    <row r="380" spans="1:20" ht="14" customHeight="1" x14ac:dyDescent="0.25">
      <c r="A380" s="332"/>
      <c r="B380" s="461"/>
      <c r="C380" s="686"/>
      <c r="L380" s="702" t="s">
        <v>440</v>
      </c>
      <c r="M380" s="703">
        <f ca="1">IF(VLOOKUP($L380,Data!$C:$H,1,TRUE)=$L380,VLOOKUP($L380,Data!$C:$H,6,TRUE),NA())</f>
        <v>0</v>
      </c>
      <c r="N380" s="466"/>
      <c r="O380" s="467"/>
      <c r="P380" s="297"/>
      <c r="Q380" s="297"/>
      <c r="R380" s="297"/>
      <c r="S380" s="297"/>
      <c r="T380" s="467"/>
    </row>
    <row r="381" spans="1:20" ht="14" customHeight="1" x14ac:dyDescent="0.25">
      <c r="A381" s="332"/>
      <c r="B381" s="461"/>
      <c r="C381" s="686"/>
      <c r="L381" s="702" t="s">
        <v>441</v>
      </c>
      <c r="M381" s="703">
        <f ca="1">IF(VLOOKUP($L381,Data!$C:$H,1,TRUE)=$L381,VLOOKUP($L381,Data!$C:$H,6,TRUE),NA())</f>
        <v>0</v>
      </c>
      <c r="N381" s="466"/>
      <c r="O381" s="467"/>
      <c r="P381" s="297"/>
      <c r="Q381" s="297"/>
      <c r="R381" s="297"/>
      <c r="S381" s="297"/>
      <c r="T381" s="467"/>
    </row>
    <row r="382" spans="1:20" ht="14" customHeight="1" x14ac:dyDescent="0.25">
      <c r="A382" s="332"/>
      <c r="B382" s="461"/>
      <c r="C382" s="686"/>
      <c r="L382" s="702" t="s">
        <v>442</v>
      </c>
      <c r="M382" s="703">
        <f ca="1">IF(VLOOKUP($L382,Data!$C:$H,1,TRUE)=$L382,VLOOKUP($L382,Data!$C:$H,6,TRUE),NA())</f>
        <v>0</v>
      </c>
      <c r="N382" s="466"/>
      <c r="O382" s="467"/>
      <c r="P382" s="297"/>
      <c r="Q382" s="297"/>
      <c r="R382" s="297"/>
      <c r="S382" s="297"/>
      <c r="T382" s="467"/>
    </row>
    <row r="383" spans="1:20" ht="14" customHeight="1" x14ac:dyDescent="0.25">
      <c r="A383" s="332"/>
      <c r="B383" s="461"/>
      <c r="C383" s="686"/>
      <c r="L383" s="702" t="s">
        <v>443</v>
      </c>
      <c r="M383" s="703">
        <f ca="1">IF(VLOOKUP($L383,Data!$C:$H,1,TRUE)=$L383,VLOOKUP($L383,Data!$C:$H,6,TRUE),NA())</f>
        <v>0</v>
      </c>
      <c r="N383" s="466"/>
      <c r="O383" s="467"/>
      <c r="P383" s="297"/>
      <c r="Q383" s="297"/>
      <c r="R383" s="297"/>
      <c r="S383" s="297"/>
      <c r="T383" s="467"/>
    </row>
    <row r="384" spans="1:20" ht="14" customHeight="1" x14ac:dyDescent="0.25">
      <c r="A384" s="332"/>
      <c r="B384" s="461"/>
      <c r="C384" s="686"/>
      <c r="L384" s="702" t="s">
        <v>444</v>
      </c>
      <c r="M384" s="703">
        <f ca="1">IF(VLOOKUP($L384,Data!$C:$H,1,TRUE)=$L384,VLOOKUP($L384,Data!$C:$H,6,TRUE),NA())</f>
        <v>0</v>
      </c>
      <c r="N384" s="466"/>
      <c r="O384" s="467"/>
      <c r="P384" s="297"/>
      <c r="Q384" s="297"/>
      <c r="R384" s="297"/>
      <c r="S384" s="297"/>
      <c r="T384" s="467"/>
    </row>
    <row r="385" spans="1:20" ht="14" customHeight="1" x14ac:dyDescent="0.25">
      <c r="A385" s="332"/>
      <c r="B385" s="461"/>
      <c r="C385" s="686"/>
      <c r="E385" s="686"/>
      <c r="F385" s="686"/>
      <c r="G385" s="686"/>
      <c r="L385" s="702" t="s">
        <v>445</v>
      </c>
      <c r="M385" s="703">
        <f ca="1">IF(VLOOKUP($L385,Data!$C:$H,1,TRUE)=$L385,VLOOKUP($L385,Data!$C:$H,6,TRUE),NA())</f>
        <v>0</v>
      </c>
      <c r="N385" s="466"/>
      <c r="O385" s="467"/>
      <c r="P385" s="297"/>
      <c r="Q385" s="297"/>
      <c r="R385" s="297"/>
      <c r="S385" s="297"/>
      <c r="T385" s="467"/>
    </row>
    <row r="386" spans="1:20" ht="14" customHeight="1" x14ac:dyDescent="0.25">
      <c r="A386" s="332"/>
      <c r="B386" s="461"/>
      <c r="C386" s="686"/>
      <c r="L386" s="702" t="s">
        <v>446</v>
      </c>
      <c r="M386" s="703">
        <f ca="1">IF(VLOOKUP($L386,Data!$C:$H,1,TRUE)=$L386,VLOOKUP($L386,Data!$C:$H,6,TRUE),NA())</f>
        <v>0</v>
      </c>
      <c r="N386" s="466"/>
      <c r="O386" s="467"/>
      <c r="P386" s="297"/>
      <c r="Q386" s="297"/>
      <c r="R386" s="297"/>
      <c r="S386" s="297"/>
      <c r="T386" s="467"/>
    </row>
    <row r="387" spans="1:20" ht="14" customHeight="1" x14ac:dyDescent="0.25">
      <c r="A387" s="332"/>
      <c r="B387" s="461"/>
      <c r="C387" s="686"/>
      <c r="L387" s="702" t="s">
        <v>447</v>
      </c>
      <c r="M387" s="705">
        <f ca="1">IF(VLOOKUP($L387,Data!$C:$H,1,TRUE)=$L387,VLOOKUP($L387,Data!$C:$H,6,TRUE),NA())</f>
        <v>0</v>
      </c>
      <c r="N387" s="466"/>
      <c r="O387" s="467"/>
      <c r="P387" s="297"/>
      <c r="Q387" s="297"/>
      <c r="R387" s="297"/>
      <c r="S387" s="297"/>
      <c r="T387" s="467"/>
    </row>
    <row r="388" spans="1:20" ht="14" customHeight="1" x14ac:dyDescent="0.25">
      <c r="A388" s="332"/>
      <c r="B388" s="461"/>
      <c r="C388" s="686"/>
      <c r="L388" s="702" t="s">
        <v>448</v>
      </c>
      <c r="M388" s="705">
        <f ca="1">IF(VLOOKUP($L388,Data!$C:$H,1,TRUE)=$L388,VLOOKUP($L388,Data!$C:$H,6,TRUE),NA())</f>
        <v>0</v>
      </c>
      <c r="N388" s="466"/>
      <c r="O388" s="467"/>
      <c r="P388" s="297"/>
      <c r="Q388" s="297"/>
      <c r="R388" s="297"/>
      <c r="S388" s="297"/>
      <c r="T388" s="467"/>
    </row>
    <row r="389" spans="1:20" ht="14" customHeight="1" x14ac:dyDescent="0.25">
      <c r="A389" s="332"/>
      <c r="B389" s="461"/>
      <c r="C389" s="686"/>
      <c r="L389" s="702" t="s">
        <v>449</v>
      </c>
      <c r="M389" s="705">
        <f ca="1">IF(VLOOKUP($L389,Data!$C:$H,1,TRUE)=$L389,VLOOKUP($L389,Data!$C:$H,6,TRUE),NA())</f>
        <v>0</v>
      </c>
      <c r="N389" s="466"/>
      <c r="O389" s="467"/>
      <c r="P389" s="297"/>
      <c r="Q389" s="297"/>
      <c r="R389" s="297"/>
      <c r="S389" s="297"/>
      <c r="T389" s="467"/>
    </row>
    <row r="390" spans="1:20" ht="14" customHeight="1" x14ac:dyDescent="0.25">
      <c r="A390" s="332"/>
      <c r="B390" s="461"/>
      <c r="C390" s="686"/>
      <c r="L390" s="702" t="s">
        <v>450</v>
      </c>
      <c r="M390" s="705">
        <f ca="1">IF(VLOOKUP($L390,Data!$C:$H,1,TRUE)=$L390,VLOOKUP($L390,Data!$C:$H,6,TRUE),NA())</f>
        <v>0</v>
      </c>
      <c r="N390" s="466"/>
      <c r="O390" s="467"/>
      <c r="P390" s="297"/>
      <c r="Q390" s="297"/>
      <c r="R390" s="297"/>
      <c r="S390" s="297"/>
      <c r="T390" s="467"/>
    </row>
    <row r="391" spans="1:20" ht="14" customHeight="1" x14ac:dyDescent="0.25">
      <c r="A391" s="332"/>
      <c r="B391" s="461"/>
      <c r="C391" s="686"/>
      <c r="L391" s="702" t="s">
        <v>451</v>
      </c>
      <c r="M391" s="705">
        <f ca="1">IF(VLOOKUP($L391,Data!$C:$H,1,TRUE)=$L391,VLOOKUP($L391,Data!$C:$H,6,TRUE),NA())</f>
        <v>0</v>
      </c>
      <c r="N391" s="466"/>
      <c r="O391" s="467"/>
      <c r="P391" s="297"/>
      <c r="Q391" s="297"/>
      <c r="R391" s="297"/>
      <c r="S391" s="297"/>
      <c r="T391" s="467"/>
    </row>
    <row r="392" spans="1:20" ht="14" customHeight="1" x14ac:dyDescent="0.25">
      <c r="A392" s="332"/>
      <c r="B392" s="461"/>
      <c r="C392" s="686"/>
      <c r="L392" s="695" t="s">
        <v>2597</v>
      </c>
      <c r="M392" s="706">
        <f>Investment!K8</f>
        <v>0</v>
      </c>
      <c r="N392" s="466"/>
      <c r="O392" s="467"/>
      <c r="P392" s="297"/>
      <c r="Q392" s="297"/>
      <c r="R392" s="297"/>
      <c r="S392" s="297"/>
      <c r="T392" s="467"/>
    </row>
    <row r="393" spans="1:20" ht="14" customHeight="1" x14ac:dyDescent="0.25">
      <c r="A393" s="332"/>
      <c r="B393" s="461"/>
      <c r="C393" s="686"/>
      <c r="L393" s="695" t="s">
        <v>2598</v>
      </c>
      <c r="M393" s="706">
        <f>Investment!K9</f>
        <v>0</v>
      </c>
      <c r="N393" s="466"/>
      <c r="O393" s="467"/>
      <c r="P393" s="297"/>
      <c r="Q393" s="297"/>
      <c r="R393" s="297"/>
      <c r="S393" s="297"/>
      <c r="T393" s="467"/>
    </row>
    <row r="394" spans="1:20" ht="14" customHeight="1" x14ac:dyDescent="0.25">
      <c r="A394" s="332"/>
      <c r="B394" s="461"/>
      <c r="C394" s="686"/>
      <c r="L394" s="695" t="s">
        <v>2599</v>
      </c>
      <c r="M394" s="706">
        <f>Investment!K10</f>
        <v>0</v>
      </c>
      <c r="N394" s="466"/>
      <c r="O394" s="467"/>
      <c r="P394" s="297"/>
      <c r="Q394" s="297"/>
      <c r="R394" s="297"/>
      <c r="S394" s="297"/>
      <c r="T394" s="467"/>
    </row>
    <row r="395" spans="1:20" ht="14" customHeight="1" x14ac:dyDescent="0.25">
      <c r="A395" s="332"/>
      <c r="B395" s="461"/>
      <c r="C395" s="686"/>
      <c r="L395" s="695" t="s">
        <v>2600</v>
      </c>
      <c r="M395" s="706">
        <f>Investment!K11</f>
        <v>0</v>
      </c>
      <c r="N395" s="466"/>
      <c r="O395" s="467"/>
      <c r="P395" s="297"/>
      <c r="Q395" s="297"/>
      <c r="R395" s="297"/>
      <c r="S395" s="297"/>
      <c r="T395" s="467"/>
    </row>
    <row r="396" spans="1:20" ht="14" customHeight="1" x14ac:dyDescent="0.25">
      <c r="A396" s="332"/>
      <c r="B396" s="461"/>
      <c r="C396" s="686"/>
      <c r="L396" s="695" t="s">
        <v>2601</v>
      </c>
      <c r="M396" s="706">
        <f>Investment!K12</f>
        <v>0</v>
      </c>
      <c r="N396" s="466"/>
      <c r="O396" s="467"/>
      <c r="P396" s="297"/>
      <c r="Q396" s="297"/>
      <c r="R396" s="297"/>
      <c r="S396" s="297"/>
      <c r="T396" s="467"/>
    </row>
    <row r="397" spans="1:20" ht="14" customHeight="1" x14ac:dyDescent="0.25">
      <c r="A397" s="332"/>
      <c r="B397" s="461"/>
      <c r="C397" s="686"/>
      <c r="L397" s="695" t="s">
        <v>2602</v>
      </c>
      <c r="M397" s="706">
        <f>Investment!K13</f>
        <v>0</v>
      </c>
      <c r="N397" s="466"/>
      <c r="O397" s="467"/>
      <c r="P397" s="297"/>
      <c r="Q397" s="297"/>
      <c r="R397" s="297"/>
      <c r="S397" s="297"/>
      <c r="T397" s="467"/>
    </row>
    <row r="398" spans="1:20" ht="14" customHeight="1" x14ac:dyDescent="0.25">
      <c r="A398" s="332"/>
      <c r="B398" s="461"/>
      <c r="C398" s="686"/>
      <c r="L398" s="695" t="s">
        <v>2603</v>
      </c>
      <c r="M398" s="706">
        <f>Investment!K14</f>
        <v>0</v>
      </c>
      <c r="N398" s="466"/>
      <c r="O398" s="467"/>
      <c r="P398" s="297"/>
      <c r="Q398" s="297"/>
      <c r="R398" s="297"/>
      <c r="S398" s="297"/>
      <c r="T398" s="467"/>
    </row>
    <row r="399" spans="1:20" ht="14" customHeight="1" x14ac:dyDescent="0.25">
      <c r="A399" s="332"/>
      <c r="B399" s="461"/>
      <c r="C399" s="686"/>
      <c r="L399" s="695" t="s">
        <v>2604</v>
      </c>
      <c r="M399" s="706">
        <f>Investment!K15</f>
        <v>0</v>
      </c>
      <c r="N399" s="466"/>
      <c r="O399" s="467"/>
      <c r="P399" s="297"/>
      <c r="Q399" s="297"/>
      <c r="R399" s="297"/>
      <c r="S399" s="297"/>
      <c r="T399" s="467"/>
    </row>
    <row r="400" spans="1:20" ht="14" customHeight="1" x14ac:dyDescent="0.25">
      <c r="A400" s="332"/>
      <c r="B400" s="461"/>
      <c r="C400" s="686"/>
      <c r="L400" s="695" t="s">
        <v>2605</v>
      </c>
      <c r="M400" s="706">
        <f>Investment!K16</f>
        <v>0</v>
      </c>
      <c r="N400" s="466"/>
      <c r="O400" s="467"/>
      <c r="P400" s="297"/>
      <c r="Q400" s="297"/>
      <c r="R400" s="297"/>
      <c r="S400" s="297"/>
      <c r="T400" s="467"/>
    </row>
    <row r="401" spans="1:20" ht="14" customHeight="1" x14ac:dyDescent="0.25">
      <c r="A401" s="332"/>
      <c r="B401" s="461"/>
      <c r="C401" s="686"/>
      <c r="L401" s="695" t="s">
        <v>2606</v>
      </c>
      <c r="M401" s="706">
        <f>Investment!K17</f>
        <v>0</v>
      </c>
      <c r="N401" s="466"/>
      <c r="O401" s="467"/>
      <c r="P401" s="297"/>
      <c r="Q401" s="297"/>
      <c r="R401" s="297"/>
      <c r="S401" s="297"/>
      <c r="T401" s="467"/>
    </row>
    <row r="402" spans="1:20" ht="14" customHeight="1" x14ac:dyDescent="0.25">
      <c r="A402" s="332"/>
      <c r="B402" s="461"/>
      <c r="C402" s="686"/>
      <c r="L402" s="695" t="s">
        <v>2607</v>
      </c>
      <c r="M402" s="706">
        <f>Investment!K18</f>
        <v>0</v>
      </c>
      <c r="N402" s="466"/>
      <c r="O402" s="467"/>
      <c r="P402" s="297"/>
      <c r="Q402" s="297"/>
      <c r="R402" s="297"/>
      <c r="S402" s="297"/>
      <c r="T402" s="467"/>
    </row>
    <row r="403" spans="1:20" ht="14" customHeight="1" x14ac:dyDescent="0.25">
      <c r="A403" s="332"/>
      <c r="B403" s="461"/>
      <c r="C403" s="686"/>
      <c r="L403" s="695" t="s">
        <v>2608</v>
      </c>
      <c r="M403" s="706">
        <f>Investment!L8</f>
        <v>0</v>
      </c>
      <c r="N403" s="466"/>
      <c r="O403" s="467"/>
      <c r="P403" s="297"/>
      <c r="Q403" s="297"/>
      <c r="R403" s="297"/>
      <c r="S403" s="297"/>
      <c r="T403" s="467"/>
    </row>
    <row r="404" spans="1:20" ht="14" customHeight="1" x14ac:dyDescent="0.25">
      <c r="A404" s="332"/>
      <c r="B404" s="461"/>
      <c r="C404" s="686"/>
      <c r="L404" s="695" t="s">
        <v>2609</v>
      </c>
      <c r="M404" s="706">
        <f>Investment!L9</f>
        <v>0</v>
      </c>
      <c r="N404" s="466"/>
      <c r="O404" s="467"/>
      <c r="P404" s="297"/>
      <c r="Q404" s="297"/>
      <c r="R404" s="297"/>
      <c r="S404" s="297"/>
      <c r="T404" s="467"/>
    </row>
    <row r="405" spans="1:20" ht="14" customHeight="1" x14ac:dyDescent="0.25">
      <c r="A405" s="332"/>
      <c r="B405" s="461"/>
      <c r="C405" s="686"/>
      <c r="L405" s="695" t="s">
        <v>2610</v>
      </c>
      <c r="M405" s="706">
        <f>Investment!L10</f>
        <v>0</v>
      </c>
      <c r="N405" s="466"/>
      <c r="O405" s="467"/>
      <c r="P405" s="297"/>
      <c r="Q405" s="297"/>
      <c r="R405" s="297"/>
      <c r="S405" s="297"/>
      <c r="T405" s="467"/>
    </row>
    <row r="406" spans="1:20" ht="14" customHeight="1" x14ac:dyDescent="0.25">
      <c r="A406" s="332"/>
      <c r="B406" s="461"/>
      <c r="C406" s="686"/>
      <c r="L406" s="695" t="s">
        <v>2611</v>
      </c>
      <c r="M406" s="706">
        <f>Investment!L11</f>
        <v>0</v>
      </c>
      <c r="N406" s="466"/>
      <c r="O406" s="467"/>
      <c r="P406" s="297"/>
      <c r="Q406" s="297"/>
      <c r="R406" s="297"/>
      <c r="S406" s="297"/>
      <c r="T406" s="467"/>
    </row>
    <row r="407" spans="1:20" ht="14" customHeight="1" x14ac:dyDescent="0.25">
      <c r="A407" s="332"/>
      <c r="B407" s="461"/>
      <c r="C407" s="686"/>
      <c r="L407" s="695" t="s">
        <v>2612</v>
      </c>
      <c r="M407" s="706">
        <f>Investment!L12</f>
        <v>0</v>
      </c>
      <c r="N407" s="466"/>
      <c r="O407" s="467"/>
      <c r="P407" s="297"/>
      <c r="Q407" s="297"/>
      <c r="R407" s="297"/>
      <c r="S407" s="297"/>
      <c r="T407" s="467"/>
    </row>
    <row r="408" spans="1:20" ht="14" customHeight="1" x14ac:dyDescent="0.25">
      <c r="A408" s="332"/>
      <c r="B408" s="461"/>
      <c r="C408" s="686"/>
      <c r="L408" s="695" t="s">
        <v>2613</v>
      </c>
      <c r="M408" s="706">
        <f>Investment!L13</f>
        <v>0</v>
      </c>
      <c r="N408" s="466"/>
      <c r="O408" s="467"/>
      <c r="P408" s="297"/>
      <c r="Q408" s="297"/>
      <c r="R408" s="297"/>
      <c r="S408" s="297"/>
      <c r="T408" s="467"/>
    </row>
    <row r="409" spans="1:20" ht="14" customHeight="1" x14ac:dyDescent="0.25">
      <c r="A409" s="332"/>
      <c r="B409" s="461"/>
      <c r="C409" s="686"/>
      <c r="L409" s="695" t="s">
        <v>2614</v>
      </c>
      <c r="M409" s="706">
        <f>Investment!L14</f>
        <v>0</v>
      </c>
      <c r="N409" s="466"/>
      <c r="O409" s="467"/>
      <c r="P409" s="297"/>
      <c r="Q409" s="297"/>
      <c r="R409" s="297"/>
      <c r="S409" s="297"/>
      <c r="T409" s="467"/>
    </row>
    <row r="410" spans="1:20" ht="14" customHeight="1" x14ac:dyDescent="0.25">
      <c r="A410" s="332"/>
      <c r="B410" s="461"/>
      <c r="C410" s="686"/>
      <c r="L410" s="695" t="s">
        <v>2615</v>
      </c>
      <c r="M410" s="706">
        <f>Investment!L15</f>
        <v>0</v>
      </c>
      <c r="N410" s="466"/>
      <c r="O410" s="467"/>
      <c r="P410" s="297"/>
      <c r="Q410" s="297"/>
      <c r="R410" s="297"/>
      <c r="S410" s="297"/>
      <c r="T410" s="467"/>
    </row>
    <row r="411" spans="1:20" ht="14" customHeight="1" x14ac:dyDescent="0.25">
      <c r="A411" s="332"/>
      <c r="B411" s="461"/>
      <c r="C411" s="686"/>
      <c r="L411" s="695" t="s">
        <v>2616</v>
      </c>
      <c r="M411" s="706">
        <f>Investment!L16</f>
        <v>0</v>
      </c>
      <c r="N411" s="466"/>
      <c r="O411" s="467"/>
      <c r="P411" s="297"/>
      <c r="Q411" s="297"/>
      <c r="R411" s="297"/>
      <c r="S411" s="297"/>
      <c r="T411" s="467"/>
    </row>
    <row r="412" spans="1:20" ht="14" customHeight="1" x14ac:dyDescent="0.25">
      <c r="A412" s="332"/>
      <c r="B412" s="461"/>
      <c r="C412" s="686"/>
      <c r="L412" s="695" t="s">
        <v>2617</v>
      </c>
      <c r="M412" s="706">
        <f>Investment!L17</f>
        <v>0</v>
      </c>
      <c r="N412" s="466"/>
      <c r="O412" s="467"/>
      <c r="P412" s="297"/>
      <c r="Q412" s="297"/>
      <c r="R412" s="297"/>
      <c r="S412" s="297"/>
      <c r="T412" s="467"/>
    </row>
    <row r="413" spans="1:20" ht="14" customHeight="1" x14ac:dyDescent="0.25">
      <c r="A413" s="332"/>
      <c r="B413" s="461"/>
      <c r="C413" s="686"/>
      <c r="L413" s="695" t="s">
        <v>2618</v>
      </c>
      <c r="M413" s="706">
        <f>Investment!L18</f>
        <v>0</v>
      </c>
      <c r="N413" s="466"/>
      <c r="O413" s="467"/>
      <c r="P413" s="297"/>
      <c r="Q413" s="297"/>
      <c r="R413" s="297"/>
      <c r="S413" s="297"/>
      <c r="T413" s="467"/>
    </row>
    <row r="414" spans="1:20" ht="14" customHeight="1" x14ac:dyDescent="0.25">
      <c r="A414" s="332"/>
      <c r="B414" s="707"/>
      <c r="C414" s="700"/>
      <c r="D414" s="516"/>
      <c r="E414" s="516"/>
      <c r="F414" s="516"/>
      <c r="G414" s="516"/>
      <c r="H414" s="516"/>
      <c r="I414" s="516"/>
      <c r="J414" s="516"/>
      <c r="K414" s="516"/>
      <c r="L414" s="516"/>
      <c r="M414" s="516"/>
      <c r="N414" s="701"/>
      <c r="O414" s="467"/>
      <c r="P414" s="297"/>
      <c r="Q414" s="297"/>
      <c r="R414" s="297"/>
      <c r="S414" s="297"/>
      <c r="T414" s="467"/>
    </row>
    <row r="415" spans="1:20" ht="14" customHeight="1" x14ac:dyDescent="0.25">
      <c r="A415" s="422"/>
      <c r="B415" s="422"/>
      <c r="C415" s="422"/>
      <c r="D415" s="422"/>
      <c r="E415" s="422"/>
      <c r="F415" s="422"/>
      <c r="G415" s="422"/>
      <c r="H415" s="422"/>
      <c r="I415" s="422"/>
      <c r="J415" s="422"/>
      <c r="K415" s="422"/>
      <c r="L415" s="422"/>
      <c r="M415" s="422"/>
      <c r="N415" s="422"/>
      <c r="O415" s="422"/>
      <c r="P415" s="422"/>
      <c r="Q415" s="422"/>
      <c r="R415" s="422"/>
      <c r="S415" s="422"/>
      <c r="T415" s="422"/>
    </row>
  </sheetData>
  <sheetProtection sheet="1" objects="1" scenarios="1"/>
  <mergeCells count="11">
    <mergeCell ref="L7:M7"/>
    <mergeCell ref="L6:M6"/>
    <mergeCell ref="Q11:Q31"/>
    <mergeCell ref="D24:E24"/>
    <mergeCell ref="H24:I24"/>
    <mergeCell ref="D6:F6"/>
    <mergeCell ref="D7:F7"/>
    <mergeCell ref="H7:J7"/>
    <mergeCell ref="H6:J6"/>
    <mergeCell ref="D9:E9"/>
    <mergeCell ref="H9:I9"/>
  </mergeCells>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W21"/>
  <sheetViews>
    <sheetView showGridLines="0" zoomScaleNormal="100" workbookViewId="0">
      <selection activeCell="I12" sqref="I12"/>
    </sheetView>
  </sheetViews>
  <sheetFormatPr defaultColWidth="9.28515625" defaultRowHeight="11.5" x14ac:dyDescent="0.25"/>
  <cols>
    <col min="1" max="2" width="1.640625" style="7" customWidth="1"/>
    <col min="3" max="4" width="2.640625" style="7" customWidth="1"/>
    <col min="5" max="5" width="30.640625" style="26" customWidth="1"/>
    <col min="6" max="6" width="2.640625" style="7" customWidth="1"/>
    <col min="7" max="7" width="8.640625" style="7" customWidth="1"/>
    <col min="8" max="8" width="1.640625" style="7" customWidth="1"/>
    <col min="9" max="9" width="89.28515625" style="7" customWidth="1"/>
    <col min="10" max="10" width="2.640625" style="7" customWidth="1"/>
    <col min="11" max="11" width="2.640625" style="6" customWidth="1"/>
    <col min="12" max="12" width="1.640625" style="7" customWidth="1"/>
    <col min="13" max="13" width="1.640625" style="22" customWidth="1"/>
    <col min="14" max="14" width="1.640625" style="122" customWidth="1"/>
    <col min="15" max="23" width="9.28515625" style="122"/>
    <col min="24" max="16384" width="9.28515625" style="7"/>
  </cols>
  <sheetData>
    <row r="1" spans="1:23" ht="13.5" customHeight="1" x14ac:dyDescent="0.25">
      <c r="A1" s="4"/>
      <c r="B1" s="4"/>
      <c r="C1" s="4"/>
      <c r="D1" s="4"/>
      <c r="E1" s="4"/>
      <c r="F1" s="4"/>
      <c r="G1" s="4"/>
      <c r="H1" s="4"/>
      <c r="I1" s="4"/>
      <c r="J1" s="4"/>
      <c r="K1" s="4"/>
      <c r="L1" s="4"/>
      <c r="M1" s="4"/>
    </row>
    <row r="2" spans="1:23" s="14" customFormat="1" ht="18" customHeight="1" x14ac:dyDescent="0.2">
      <c r="A2" s="8"/>
      <c r="B2" s="9"/>
      <c r="C2" s="65"/>
      <c r="D2" s="10"/>
      <c r="E2" s="11"/>
      <c r="F2" s="12"/>
      <c r="G2" s="12"/>
      <c r="H2" s="12"/>
      <c r="I2" s="10"/>
      <c r="J2" s="10"/>
      <c r="K2" s="11"/>
      <c r="L2" s="13"/>
      <c r="M2" s="8"/>
      <c r="N2" s="123"/>
      <c r="O2" s="123"/>
      <c r="P2" s="123"/>
      <c r="Q2" s="123"/>
      <c r="R2" s="123"/>
      <c r="S2" s="123"/>
      <c r="T2" s="123"/>
      <c r="U2" s="123"/>
      <c r="V2" s="123"/>
      <c r="W2" s="123"/>
    </row>
    <row r="3" spans="1:23" ht="18" customHeight="1" x14ac:dyDescent="0.25">
      <c r="A3" s="4"/>
      <c r="B3" s="15"/>
      <c r="D3" s="114" t="s">
        <v>513</v>
      </c>
      <c r="E3" s="112"/>
      <c r="F3" s="112"/>
      <c r="G3" s="112"/>
      <c r="H3" s="112"/>
      <c r="I3" s="112"/>
      <c r="J3" s="112"/>
      <c r="K3" s="112"/>
      <c r="L3" s="16"/>
      <c r="M3" s="4"/>
    </row>
    <row r="4" spans="1:23" ht="35" customHeight="1" x14ac:dyDescent="0.25">
      <c r="A4" s="4"/>
      <c r="B4" s="15"/>
      <c r="D4" s="115" t="str">
        <f>IF(VLOOKUP("KM70",Languages!$A:$D,1,TRUE)="KM70",VLOOKUP("KM70",Languages!$A:$D,Kybermittari!$C$7,TRUE),NA())</f>
        <v>Kyberturvallisuuden kypsyystaso</v>
      </c>
      <c r="E4" s="113"/>
      <c r="F4" s="113"/>
      <c r="G4" s="113"/>
      <c r="H4" s="113"/>
      <c r="I4" s="113"/>
      <c r="J4" s="113"/>
      <c r="K4" s="113"/>
      <c r="L4" s="16"/>
      <c r="M4" s="4"/>
    </row>
    <row r="5" spans="1:23" ht="20" customHeight="1" x14ac:dyDescent="0.25">
      <c r="A5" s="4"/>
      <c r="B5" s="15"/>
      <c r="C5" s="64"/>
      <c r="D5" s="147" t="str">
        <f>IF(VLOOKUP("KM62",Languages!$A:$D,1,TRUE)="KM62",VLOOKUP("KM62",Languages!$A:$D,Kybermittari!$C$7,TRUE),NA())</f>
        <v xml:space="preserve"> NIST Cybersecurity -viitekehyksen mukaisesti</v>
      </c>
      <c r="E5" s="147"/>
      <c r="F5" s="30"/>
      <c r="G5" s="30"/>
      <c r="H5" s="30"/>
      <c r="I5" s="20"/>
      <c r="J5" s="20"/>
      <c r="K5" s="28"/>
      <c r="L5" s="16"/>
      <c r="M5" s="4"/>
    </row>
    <row r="6" spans="1:23" ht="20" customHeight="1" x14ac:dyDescent="0.25">
      <c r="A6" s="4"/>
      <c r="B6" s="15"/>
      <c r="C6" s="64"/>
      <c r="D6" s="17"/>
      <c r="E6" s="18"/>
      <c r="F6" s="19"/>
      <c r="G6" s="19"/>
      <c r="H6" s="19"/>
      <c r="I6" s="20"/>
      <c r="J6" s="20"/>
      <c r="K6" s="28"/>
      <c r="L6" s="16"/>
      <c r="M6" s="4"/>
    </row>
    <row r="7" spans="1:23" ht="300" customHeight="1" x14ac:dyDescent="0.25">
      <c r="A7" s="4"/>
      <c r="B7" s="15"/>
      <c r="C7" s="64"/>
      <c r="D7" s="17"/>
      <c r="E7" s="18"/>
      <c r="F7" s="19"/>
      <c r="G7" s="19"/>
      <c r="H7" s="19"/>
      <c r="I7" s="20"/>
      <c r="J7" s="20"/>
      <c r="K7" s="28"/>
      <c r="L7" s="16"/>
      <c r="M7" s="4"/>
    </row>
    <row r="8" spans="1:23" ht="35" customHeight="1" x14ac:dyDescent="0.25">
      <c r="A8" s="4"/>
      <c r="B8" s="15"/>
      <c r="C8" s="64"/>
      <c r="D8" s="17"/>
      <c r="E8" s="18"/>
      <c r="F8" s="19"/>
      <c r="G8" s="19"/>
      <c r="H8" s="19"/>
      <c r="I8" s="20"/>
      <c r="J8" s="20"/>
      <c r="K8" s="28"/>
      <c r="L8" s="16"/>
      <c r="M8" s="4"/>
    </row>
    <row r="9" spans="1:23" ht="25" customHeight="1" x14ac:dyDescent="0.25">
      <c r="A9" s="4"/>
      <c r="B9" s="15"/>
      <c r="C9" s="64"/>
      <c r="D9" s="17"/>
      <c r="E9" s="18"/>
      <c r="F9" s="19"/>
      <c r="G9" s="19"/>
      <c r="H9" s="19"/>
      <c r="I9" s="20"/>
      <c r="J9" s="20"/>
      <c r="K9" s="28"/>
      <c r="L9" s="16"/>
      <c r="M9" s="4"/>
    </row>
    <row r="10" spans="1:23" ht="106.5" customHeight="1" x14ac:dyDescent="0.25">
      <c r="A10" s="4"/>
      <c r="B10" s="15"/>
      <c r="C10" s="64"/>
      <c r="D10" s="17" t="s">
        <v>961</v>
      </c>
      <c r="E10" s="42" t="str">
        <f>IF(VLOOKUP($D10,Languages!$A:$D,1,TRUE)=$D10,VLOOKUP($D10,Languages!$A:$D,Kybermittari!$C$7,TRUE),NA())</f>
        <v>Tunnistaminen</v>
      </c>
      <c r="F10" s="19"/>
      <c r="G10" s="41">
        <f ca="1">NISTMap!AC3</f>
        <v>0</v>
      </c>
      <c r="H10" s="46">
        <f ca="1">IF($G10&lt;0.3,0,IF($G10&lt;0.6,1,IF($G10&lt;0.9,2,3)))</f>
        <v>0</v>
      </c>
      <c r="I10" s="120" t="str">
        <f ca="1">IF(VLOOKUP(CONCATENATE($D10,"-",$H10),Languages!$A:$D,1,TRUE)=CONCATENATE($D10,"-",$H10),VLOOKUP(CONCATENATE($D10,"-",$H10),Languages!$A:$D,Kybermittari!$C$7,TRUE),NA())</f>
        <v>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v>
      </c>
      <c r="J10" s="120"/>
      <c r="K10" s="46"/>
      <c r="L10" s="16"/>
      <c r="M10" s="4"/>
    </row>
    <row r="11" spans="1:23" x14ac:dyDescent="0.25">
      <c r="A11" s="4"/>
      <c r="B11" s="15"/>
      <c r="C11" s="64"/>
      <c r="E11" s="18"/>
      <c r="F11" s="19"/>
      <c r="G11" s="19"/>
      <c r="H11" s="19"/>
      <c r="I11" s="48"/>
      <c r="J11" s="48"/>
      <c r="K11" s="46"/>
      <c r="L11" s="16"/>
      <c r="M11" s="4"/>
    </row>
    <row r="12" spans="1:23" ht="100" customHeight="1" x14ac:dyDescent="0.25">
      <c r="A12" s="4"/>
      <c r="B12" s="15"/>
      <c r="C12" s="64"/>
      <c r="D12" s="17" t="s">
        <v>962</v>
      </c>
      <c r="E12" s="42" t="str">
        <f>IF(VLOOKUP($D12,Languages!$A:$D,1,TRUE)=$D12,VLOOKUP($D12,Languages!$A:$D,Kybermittari!$C$7,TRUE),NA())</f>
        <v>Suojautuminen</v>
      </c>
      <c r="F12" s="19"/>
      <c r="G12" s="41">
        <f ca="1">NISTMap!AC4</f>
        <v>0</v>
      </c>
      <c r="H12" s="46">
        <f ca="1">IF($G12&lt;0.3,0,IF($G12&lt;0.6,1,IF($G12&lt;0.9,2,3)))</f>
        <v>0</v>
      </c>
      <c r="I12" s="120" t="str">
        <f ca="1">IF(VLOOKUP(CONCATENATE($D12,"-",$H12),Languages!$A:$D,1,TRUE)=CONCATENATE($D12,"-",$H12),VLOOKUP(CONCATENATE($D12,"-",$H12),Languages!$A:$D,Kybermittari!$C$7,TRUE),NA())</f>
        <v>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v>
      </c>
      <c r="J12" s="120"/>
      <c r="K12" s="46"/>
      <c r="L12" s="16"/>
      <c r="M12" s="4"/>
    </row>
    <row r="13" spans="1:23" x14ac:dyDescent="0.25">
      <c r="A13" s="4"/>
      <c r="B13" s="15"/>
      <c r="C13" s="64"/>
      <c r="E13" s="18"/>
      <c r="F13" s="19"/>
      <c r="G13" s="19"/>
      <c r="H13" s="46"/>
      <c r="I13" s="48"/>
      <c r="J13" s="48"/>
      <c r="K13" s="46"/>
      <c r="L13" s="16"/>
      <c r="M13" s="4"/>
    </row>
    <row r="14" spans="1:23" ht="100" customHeight="1" x14ac:dyDescent="0.25">
      <c r="A14" s="4"/>
      <c r="B14" s="15"/>
      <c r="C14" s="64"/>
      <c r="D14" s="17" t="s">
        <v>963</v>
      </c>
      <c r="E14" s="42" t="str">
        <f>IF(VLOOKUP($D14,Languages!$A:$D,1,TRUE)=$D14,VLOOKUP($D14,Languages!$A:$D,Kybermittari!$C$7,TRUE),NA())</f>
        <v>Havainnointi</v>
      </c>
      <c r="F14" s="19"/>
      <c r="G14" s="41">
        <f ca="1">NISTMap!AC5</f>
        <v>0</v>
      </c>
      <c r="H14" s="46">
        <f ca="1">IF($G14&lt;0.3,0,IF($G14&lt;0.6,1,IF($G14&lt;0.9,2,3)))</f>
        <v>0</v>
      </c>
      <c r="I14" s="120" t="str">
        <f ca="1">IF(VLOOKUP(CONCATENATE($D14,"-",$H14),Languages!$A:$D,1,TRUE)=CONCATENATE($D14,"-",$H14),VLOOKUP(CONCATENATE($D14,"-",$H14),Languages!$A:$D,Kybermittari!$C$7,TRUE),NA())</f>
        <v>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v>
      </c>
      <c r="J14" s="120"/>
      <c r="K14" s="46"/>
      <c r="L14" s="16"/>
      <c r="M14" s="4"/>
    </row>
    <row r="15" spans="1:23" x14ac:dyDescent="0.25">
      <c r="A15" s="4"/>
      <c r="B15" s="15"/>
      <c r="C15" s="64"/>
      <c r="E15" s="18"/>
      <c r="F15" s="19"/>
      <c r="G15" s="19"/>
      <c r="H15" s="46"/>
      <c r="I15" s="48"/>
      <c r="J15" s="48"/>
      <c r="K15" s="46"/>
      <c r="L15" s="16"/>
      <c r="M15" s="4"/>
    </row>
    <row r="16" spans="1:23" ht="100" customHeight="1" x14ac:dyDescent="0.25">
      <c r="A16" s="4"/>
      <c r="B16" s="15"/>
      <c r="C16" s="64"/>
      <c r="D16" s="17" t="s">
        <v>964</v>
      </c>
      <c r="E16" s="42" t="str">
        <f>IF(VLOOKUP($D16,Languages!$A:$D,1,TRUE)=$D16,VLOOKUP($D16,Languages!$A:$D,Kybermittari!$C$7,TRUE),NA())</f>
        <v>Reagointi</v>
      </c>
      <c r="F16" s="19"/>
      <c r="G16" s="41">
        <f ca="1">NISTMap!AC6</f>
        <v>0</v>
      </c>
      <c r="H16" s="46">
        <f ca="1">IF($G16&lt;0.3,0,IF($G16&lt;0.6,1,IF($G16&lt;0.9,2,3)))</f>
        <v>0</v>
      </c>
      <c r="I16" s="120" t="str">
        <f ca="1">IF(VLOOKUP(CONCATENATE($D16,"-",$H16),Languages!$A:$D,1,TRUE)=CONCATENATE($D16,"-",$H16),VLOOKUP(CONCATENATE($D16,"-",$H16),Languages!$A:$D,Kybermittari!$C$7,TRUE),NA())</f>
        <v>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v>
      </c>
      <c r="J16" s="120"/>
      <c r="K16" s="46"/>
      <c r="L16" s="16"/>
      <c r="M16" s="4"/>
    </row>
    <row r="17" spans="1:23" x14ac:dyDescent="0.25">
      <c r="A17" s="4"/>
      <c r="B17" s="15"/>
      <c r="C17" s="64"/>
      <c r="E17" s="18"/>
      <c r="F17" s="19"/>
      <c r="G17" s="19"/>
      <c r="H17" s="46"/>
      <c r="I17" s="48"/>
      <c r="J17" s="48"/>
      <c r="K17" s="46"/>
      <c r="L17" s="16"/>
      <c r="M17" s="4"/>
    </row>
    <row r="18" spans="1:23" ht="100" customHeight="1" x14ac:dyDescent="0.25">
      <c r="A18" s="4"/>
      <c r="B18" s="15"/>
      <c r="C18" s="64"/>
      <c r="D18" s="17" t="s">
        <v>965</v>
      </c>
      <c r="E18" s="42" t="str">
        <f>IF(VLOOKUP($D18,Languages!$A:$D,1,TRUE)=$D18,VLOOKUP($D18,Languages!$A:$D,Kybermittari!$C$7,TRUE),NA())</f>
        <v>Palautuminen</v>
      </c>
      <c r="F18" s="19"/>
      <c r="G18" s="41">
        <f ca="1">NISTMap!AC7</f>
        <v>0</v>
      </c>
      <c r="H18" s="46">
        <f ca="1">IF($G18&lt;0.3,0,IF($G18&lt;0.6,1,IF($G18&lt;0.9,2,3)))</f>
        <v>0</v>
      </c>
      <c r="I18" s="120" t="str">
        <f ca="1">IF(VLOOKUP(CONCATENATE($D18,"-",$H18),Languages!$A:$D,1,TRUE)=CONCATENATE($D18,"-",$H18),VLOOKUP(CONCATENATE($D18,"-",$H18),Languages!$A:$D,Kybermittari!$C$7,TRUE),NA())</f>
        <v>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v>
      </c>
      <c r="J18" s="120"/>
      <c r="K18" s="46"/>
      <c r="L18" s="16"/>
      <c r="M18" s="4"/>
    </row>
    <row r="19" spans="1:23" x14ac:dyDescent="0.25">
      <c r="A19" s="4"/>
      <c r="B19" s="15"/>
      <c r="C19" s="64"/>
      <c r="D19" s="17"/>
      <c r="E19" s="18"/>
      <c r="F19" s="19"/>
      <c r="G19" s="19"/>
      <c r="H19" s="19"/>
      <c r="I19" s="20"/>
      <c r="J19" s="20"/>
      <c r="K19" s="28"/>
      <c r="L19" s="16"/>
      <c r="M19" s="4"/>
    </row>
    <row r="20" spans="1:23" s="22" customFormat="1" x14ac:dyDescent="0.25">
      <c r="A20" s="21"/>
      <c r="B20" s="23"/>
      <c r="C20" s="31"/>
      <c r="D20" s="31"/>
      <c r="E20" s="32"/>
      <c r="F20" s="33"/>
      <c r="G20" s="33"/>
      <c r="H20" s="33"/>
      <c r="I20" s="31"/>
      <c r="J20" s="31"/>
      <c r="K20" s="29"/>
      <c r="L20" s="24"/>
      <c r="M20" s="21"/>
      <c r="N20" s="125"/>
      <c r="O20" s="125"/>
      <c r="P20" s="125"/>
      <c r="Q20" s="125"/>
      <c r="R20" s="125"/>
      <c r="S20" s="125"/>
      <c r="T20" s="125"/>
      <c r="U20" s="125"/>
      <c r="V20" s="125"/>
      <c r="W20" s="125"/>
    </row>
    <row r="21" spans="1:23" s="22" customFormat="1" x14ac:dyDescent="0.25">
      <c r="A21" s="21"/>
      <c r="B21" s="21"/>
      <c r="C21" s="21"/>
      <c r="D21" s="21"/>
      <c r="E21" s="21"/>
      <c r="F21" s="21"/>
      <c r="G21" s="21"/>
      <c r="H21" s="21"/>
      <c r="I21" s="21"/>
      <c r="J21" s="21"/>
      <c r="K21" s="21"/>
      <c r="L21" s="21"/>
      <c r="M21" s="21"/>
      <c r="N21" s="125"/>
      <c r="O21" s="125"/>
      <c r="P21" s="125"/>
      <c r="Q21" s="125"/>
      <c r="R21" s="125"/>
      <c r="S21" s="125"/>
      <c r="T21" s="125"/>
      <c r="U21" s="125"/>
      <c r="V21" s="125"/>
      <c r="W21" s="125"/>
    </row>
  </sheetData>
  <sheetProtection sheet="1" objects="1" scenarios="1"/>
  <pageMargins left="0.7" right="0.7" top="0.75" bottom="0.75" header="0.3" footer="0.3"/>
  <pageSetup paperSize="9" scale="4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O55"/>
  <sheetViews>
    <sheetView showGridLines="0" zoomScaleNormal="100" zoomScalePageLayoutView="70" workbookViewId="0">
      <selection activeCell="C46" sqref="C46"/>
    </sheetView>
  </sheetViews>
  <sheetFormatPr defaultColWidth="9.28515625" defaultRowHeight="18" customHeight="1" x14ac:dyDescent="0.25"/>
  <cols>
    <col min="1" max="2" width="1.640625" style="7" customWidth="1"/>
    <col min="3" max="3" width="2.640625" style="7" customWidth="1"/>
    <col min="4" max="4" width="50.640625" style="22" customWidth="1"/>
    <col min="5" max="5" width="15.640625" style="77" customWidth="1"/>
    <col min="6" max="6" width="5.640625" style="7" customWidth="1"/>
    <col min="7" max="7" width="50.640625" style="7" customWidth="1"/>
    <col min="8" max="8" width="15.640625" style="7" customWidth="1"/>
    <col min="9" max="9" width="2.640625" style="7" customWidth="1"/>
    <col min="10" max="10" width="1.640625" style="7" customWidth="1"/>
    <col min="11" max="11" width="1.640625" style="22" customWidth="1"/>
    <col min="12" max="12" width="1.640625" style="76" customWidth="1"/>
    <col min="13" max="15" width="9.28515625" style="122"/>
    <col min="16" max="16384" width="9.28515625" style="7"/>
  </cols>
  <sheetData>
    <row r="1" spans="1:15" ht="13.5" customHeight="1" x14ac:dyDescent="0.25">
      <c r="A1" s="4"/>
      <c r="B1" s="4"/>
      <c r="C1" s="4"/>
      <c r="D1" s="5"/>
      <c r="E1" s="5"/>
      <c r="F1" s="4"/>
      <c r="G1" s="4"/>
      <c r="H1" s="4"/>
      <c r="I1" s="4"/>
      <c r="J1" s="4"/>
      <c r="K1" s="4"/>
      <c r="L1" s="73"/>
    </row>
    <row r="2" spans="1:15" s="14" customFormat="1" ht="18" customHeight="1" x14ac:dyDescent="0.2">
      <c r="A2" s="8"/>
      <c r="B2" s="9"/>
      <c r="C2" s="65"/>
      <c r="D2" s="65"/>
      <c r="E2" s="79"/>
      <c r="F2" s="65"/>
      <c r="G2" s="65"/>
      <c r="H2" s="65"/>
      <c r="I2" s="65"/>
      <c r="J2" s="13"/>
      <c r="K2" s="8"/>
      <c r="L2" s="74"/>
      <c r="M2" s="123"/>
      <c r="N2" s="123"/>
      <c r="O2" s="123"/>
    </row>
    <row r="3" spans="1:15" ht="18" customHeight="1" x14ac:dyDescent="0.25">
      <c r="A3" s="4"/>
      <c r="B3" s="15"/>
      <c r="D3" s="116" t="s">
        <v>513</v>
      </c>
      <c r="E3" s="116"/>
      <c r="F3" s="116"/>
      <c r="G3" s="116"/>
      <c r="H3" s="116"/>
      <c r="I3" s="83"/>
      <c r="J3" s="16"/>
      <c r="K3" s="4"/>
      <c r="L3" s="73"/>
    </row>
    <row r="4" spans="1:15" ht="35" customHeight="1" x14ac:dyDescent="0.25">
      <c r="A4" s="4"/>
      <c r="B4" s="15"/>
      <c r="D4" s="115" t="str">
        <f>IF(VLOOKUP("KM70",Languages!$A:$D,1,TRUE)="KM70",VLOOKUP("KM70",Languages!$A:$D,Kybermittari!$C$7,TRUE),NA())</f>
        <v>Kyberturvallisuuden kypsyystaso</v>
      </c>
      <c r="E4" s="117"/>
      <c r="F4" s="117"/>
      <c r="G4" s="117"/>
      <c r="H4" s="117"/>
      <c r="I4" s="82"/>
      <c r="J4" s="16"/>
      <c r="K4" s="4"/>
      <c r="L4" s="73"/>
    </row>
    <row r="5" spans="1:15" ht="20" customHeight="1" x14ac:dyDescent="0.25">
      <c r="A5" s="4"/>
      <c r="B5" s="15"/>
      <c r="D5" s="147" t="str">
        <f>IF(VLOOKUP("KM63",Languages!$A:$D,1,TRUE)="KM63",VLOOKUP("KM63",Languages!$A:$D,Kybermittari!$C$7,TRUE),NA())</f>
        <v xml:space="preserve"> Kyberturvallisuuden osioiden mukaisesti</v>
      </c>
      <c r="E5" s="117"/>
      <c r="F5" s="117"/>
      <c r="G5" s="117"/>
      <c r="H5" s="117"/>
      <c r="I5" s="82"/>
      <c r="J5" s="16"/>
      <c r="K5" s="4"/>
      <c r="L5" s="73"/>
    </row>
    <row r="6" spans="1:15" ht="20" customHeight="1" x14ac:dyDescent="0.45">
      <c r="A6" s="4"/>
      <c r="B6" s="15"/>
      <c r="C6" s="64"/>
      <c r="D6" s="781"/>
      <c r="E6" s="781"/>
      <c r="F6" s="781"/>
      <c r="G6" s="781"/>
      <c r="H6" s="62"/>
      <c r="I6" s="62"/>
      <c r="J6" s="16"/>
      <c r="K6" s="4"/>
      <c r="L6" s="73"/>
    </row>
    <row r="7" spans="1:15" s="27" customFormat="1" ht="300" customHeight="1" x14ac:dyDescent="0.45">
      <c r="A7" s="4"/>
      <c r="B7" s="68"/>
      <c r="C7" s="69"/>
      <c r="D7" s="100"/>
      <c r="E7" s="78"/>
      <c r="F7" s="62"/>
      <c r="G7" s="62"/>
      <c r="H7" s="71"/>
      <c r="I7" s="71"/>
      <c r="J7" s="70"/>
      <c r="K7" s="4"/>
      <c r="L7" s="73"/>
      <c r="M7" s="124"/>
      <c r="N7" s="124"/>
      <c r="O7" s="124"/>
    </row>
    <row r="8" spans="1:15" ht="35" customHeight="1" x14ac:dyDescent="0.25">
      <c r="A8" s="4"/>
      <c r="B8" s="56"/>
      <c r="C8" s="66"/>
      <c r="D8" s="97"/>
      <c r="E8" s="96"/>
      <c r="F8" s="94"/>
      <c r="G8" s="98"/>
      <c r="H8" s="95"/>
      <c r="I8" s="86"/>
      <c r="J8" s="59"/>
      <c r="K8" s="4"/>
      <c r="L8" s="73"/>
    </row>
    <row r="9" spans="1:15" ht="20" customHeight="1" x14ac:dyDescent="0.25">
      <c r="A9" s="55"/>
      <c r="B9" s="56"/>
      <c r="C9" s="66"/>
      <c r="D9" s="97"/>
      <c r="E9" s="96"/>
      <c r="F9" s="94"/>
      <c r="G9" s="98"/>
      <c r="H9" s="95"/>
      <c r="I9" s="86"/>
      <c r="J9" s="59"/>
      <c r="K9" s="55"/>
      <c r="L9" s="75"/>
    </row>
    <row r="10" spans="1:15" s="27" customFormat="1" ht="20" customHeight="1" x14ac:dyDescent="0.25">
      <c r="A10" s="4"/>
      <c r="B10" s="135"/>
      <c r="C10" s="129" t="s">
        <v>60</v>
      </c>
      <c r="D10" s="139" t="str">
        <f>IF(VLOOKUP(C10,Languages!$A:$D,1,TRUE)=C10,VLOOKUP(C10,Languages!$A:$D,Kybermittari!$C$7,TRUE),NA())</f>
        <v>Kriittisten palveluiden suojaaminen</v>
      </c>
      <c r="E10" s="140" t="str">
        <f ca="1">VLOOKUP(VLOOKUP(CONCATENATE(C10),Data!$K:$O,5,FALSE),Parameters!$C$7:$F$10,Kybermittari!$C$7,FALSE)</f>
        <v>Kypsyystaso 0</v>
      </c>
      <c r="F10" s="129" t="s">
        <v>72</v>
      </c>
      <c r="G10" s="139" t="str">
        <f>IF(VLOOKUP(F10,Languages!$A:$D,1,TRUE)=F10,VLOOKUP(F10,Languages!$A:$D,Kybermittari!$C$7,TRUE),NA())</f>
        <v>Tilannekuva</v>
      </c>
      <c r="H10" s="140" t="str">
        <f ca="1">VLOOKUP(VLOOKUP(CONCATENATE(F10),Data!$K:$O,5,FALSE),Parameters!$C$7:$F$10,Kybermittari!$C$7,FALSE)</f>
        <v>Kypsyystaso 0</v>
      </c>
      <c r="I10" s="84"/>
      <c r="J10" s="85"/>
      <c r="K10" s="4"/>
      <c r="L10" s="73"/>
      <c r="M10" s="124"/>
      <c r="N10" s="124"/>
      <c r="O10" s="124"/>
    </row>
    <row r="11" spans="1:15" s="27" customFormat="1" ht="20" customHeight="1" x14ac:dyDescent="0.25">
      <c r="A11" s="4"/>
      <c r="B11" s="136" t="s">
        <v>60</v>
      </c>
      <c r="C11" s="137">
        <v>1</v>
      </c>
      <c r="D11" s="92" t="str">
        <f>IF(VLOOKUP(CONCATENATE(B11,"-",C11),Languages!$A:$D,1,TRUE)=CONCATENATE(B11,"-",C11),VLOOKUP(CONCATENATE(B11,"-",C11),Languages!$A:$D,Kybermittari!$C$7,TRUE),NA())</f>
        <v>Kriittisten palveluiden ja niiden riippuvuuksien tunnistaminen</v>
      </c>
      <c r="E11" s="93" t="str">
        <f ca="1">VLOOKUP(VLOOKUP(CONCATENATE(B11,"-",C11),Data!$K:$O,5,FALSE),Parameters!$C$7:$F$10,Kybermittari!$C$7,FALSE)</f>
        <v>Kypsyystaso 0</v>
      </c>
      <c r="F11" s="138">
        <v>1</v>
      </c>
      <c r="G11" s="92" t="str">
        <f>IF(VLOOKUP(CONCATENATE(I11,"-",F11),Languages!$A:$D,1,TRUE)=CONCATENATE(I11,"-",F11),VLOOKUP(CONCATENATE(I11,"-",F11),Languages!$A:$D,Kybermittari!$C$7,TRUE),NA())</f>
        <v>Lokituksen toteuttaminen</v>
      </c>
      <c r="H11" s="93" t="str">
        <f ca="1">VLOOKUP(VLOOKUP(CONCATENATE(I11,"-",F11),Data!$K:$O,5,FALSE),Parameters!$C$7:$F$10,Kybermittari!$C$7,FALSE)</f>
        <v>Kypsyystaso 0</v>
      </c>
      <c r="I11" s="132" t="s">
        <v>72</v>
      </c>
      <c r="J11" s="85"/>
      <c r="K11" s="4"/>
      <c r="L11" s="73"/>
      <c r="M11" s="124"/>
      <c r="N11" s="124"/>
      <c r="O11" s="124"/>
    </row>
    <row r="12" spans="1:15" s="27" customFormat="1" ht="20" customHeight="1" x14ac:dyDescent="0.25">
      <c r="A12" s="4"/>
      <c r="B12" s="136" t="s">
        <v>60</v>
      </c>
      <c r="C12" s="137">
        <v>2</v>
      </c>
      <c r="D12" s="92" t="str">
        <f>IF(VLOOKUP(CONCATENATE(B12,"-",C12),Languages!$A:$D,1,TRUE)=CONCATENATE(B12,"-",C12),VLOOKUP(CONCATENATE(B12,"-",C12),Languages!$A:$D,Kybermittari!$C$7,TRUE),NA())</f>
        <v>Kriittisten palveluiden hallinta</v>
      </c>
      <c r="E12" s="93" t="str">
        <f ca="1">VLOOKUP(VLOOKUP(CONCATENATE(B12,"-",C12),Data!$K:$O,5,FALSE),Parameters!$C$7:$F$10,Kybermittari!$C$7,FALSE)</f>
        <v>Kypsyystaso 0</v>
      </c>
      <c r="F12" s="138">
        <v>2</v>
      </c>
      <c r="G12" s="92" t="str">
        <f>IF(VLOOKUP(CONCATENATE(I12,"-",F12),Languages!$A:$D,1,TRUE)=CONCATENATE(I12,"-",F12),VLOOKUP(CONCATENATE(I12,"-",F12),Languages!$A:$D,Kybermittari!$C$7,TRUE),NA())</f>
        <v>Monitoroinnin toteuttaminen</v>
      </c>
      <c r="H12" s="93" t="str">
        <f ca="1">VLOOKUP(VLOOKUP(CONCATENATE(I12,"-",F12),Data!$K:$O,5,FALSE),Parameters!$C$7:$F$10,Kybermittari!$C$7,FALSE)</f>
        <v>Kypsyystaso 0</v>
      </c>
      <c r="I12" s="132" t="s">
        <v>72</v>
      </c>
      <c r="J12" s="85"/>
      <c r="K12" s="4"/>
      <c r="L12" s="73"/>
      <c r="M12" s="124"/>
      <c r="N12" s="124"/>
      <c r="O12" s="124"/>
    </row>
    <row r="13" spans="1:15" s="27" customFormat="1" ht="20" customHeight="1" x14ac:dyDescent="0.25">
      <c r="A13" s="4"/>
      <c r="B13" s="136" t="s">
        <v>60</v>
      </c>
      <c r="C13" s="137">
        <v>3</v>
      </c>
      <c r="D13" s="92" t="str">
        <f>IF(VLOOKUP(CONCATENATE(B13,"-",C13),Languages!$A:$D,1,TRUE)=CONCATENATE(B13,"-",C13),VLOOKUP(CONCATENATE(B13,"-",C13),Languages!$A:$D,Kybermittari!$C$7,TRUE),NA())</f>
        <v>Kriittisten palveluiden kyberhäiriöiden vaikutusten minimointi</v>
      </c>
      <c r="E13" s="93" t="str">
        <f ca="1">VLOOKUP(VLOOKUP(CONCATENATE(B13,"-",C13),Data!$K:$O,5,FALSE),Parameters!$C$7:$F$10,Kybermittari!$C$7,FALSE)</f>
        <v>Kypsyystaso 0</v>
      </c>
      <c r="F13" s="138">
        <v>3</v>
      </c>
      <c r="G13" s="92" t="str">
        <f>IF(VLOOKUP(CONCATENATE(I13,"-",F13),Languages!$A:$D,1,TRUE)=CONCATENATE(I13,"-",F13),VLOOKUP(CONCATENATE(I13,"-",F13),Languages!$A:$D,Kybermittari!$C$7,TRUE),NA())</f>
        <v>Tilannekuvan muodostaminen</v>
      </c>
      <c r="H13" s="93" t="str">
        <f ca="1">VLOOKUP(VLOOKUP(CONCATENATE(I13,"-",F13),Data!$K:$O,5,FALSE),Parameters!$C$7:$F$10,Kybermittari!$C$7,FALSE)</f>
        <v>Kypsyystaso 1</v>
      </c>
      <c r="I13" s="132" t="s">
        <v>72</v>
      </c>
      <c r="J13" s="85"/>
      <c r="K13" s="4"/>
      <c r="L13" s="73"/>
      <c r="M13" s="124"/>
      <c r="N13" s="124"/>
      <c r="O13" s="124"/>
    </row>
    <row r="14" spans="1:15" ht="20" customHeight="1" x14ac:dyDescent="0.25">
      <c r="A14" s="4"/>
      <c r="B14" s="136"/>
      <c r="C14" s="137"/>
      <c r="D14" s="88"/>
      <c r="E14" s="87"/>
      <c r="F14" s="119">
        <v>4</v>
      </c>
      <c r="G14" s="92" t="str">
        <f>IF(VLOOKUP(CONCATENATE(I14,"-",F14),Languages!$A:$D,1,TRUE)=CONCATENATE(I14,"-",F14),VLOOKUP(CONCATENATE(I14,"-",F14),Languages!$A:$D,Kybermittari!$C$7,TRUE),NA())</f>
        <v>Yleisiä hallintatoimia</v>
      </c>
      <c r="H14" s="93" t="str">
        <f ca="1">VLOOKUP(VLOOKUP(CONCATENATE(I14,"-",F14),Data!$K:$O,5,FALSE),Parameters!$C$7:$F$10,Kybermittari!$C$7,FALSE)</f>
        <v>Kypsyystaso 1</v>
      </c>
      <c r="I14" s="132" t="s">
        <v>72</v>
      </c>
      <c r="J14" s="59"/>
      <c r="K14" s="4"/>
      <c r="L14" s="73"/>
    </row>
    <row r="15" spans="1:15" ht="20" customHeight="1" x14ac:dyDescent="0.25">
      <c r="A15" s="4"/>
      <c r="B15" s="136"/>
      <c r="C15" s="129" t="s">
        <v>0</v>
      </c>
      <c r="D15" s="139" t="str">
        <f>IF(VLOOKUP(C15,Languages!$A:$D,1,TRUE)=C15,VLOOKUP(C15,Languages!$A:$D,Kybermittari!$C$7,TRUE),NA())</f>
        <v>Riskienhallinta</v>
      </c>
      <c r="E15" s="140" t="str">
        <f ca="1">VLOOKUP(VLOOKUP(CONCATENATE(C15),Data!$K:$O,5,FALSE),Parameters!$C$7:$F$10,Kybermittari!$C$7,FALSE)</f>
        <v>Kypsyystaso 0</v>
      </c>
      <c r="F15" s="119"/>
      <c r="G15" s="88"/>
      <c r="H15" s="87"/>
      <c r="I15" s="133"/>
      <c r="J15" s="59"/>
      <c r="K15" s="4"/>
      <c r="L15" s="73"/>
    </row>
    <row r="16" spans="1:15" ht="20" customHeight="1" x14ac:dyDescent="0.25">
      <c r="A16" s="4"/>
      <c r="B16" s="136" t="s">
        <v>0</v>
      </c>
      <c r="C16" s="137">
        <v>1</v>
      </c>
      <c r="D16" s="92" t="str">
        <f>IF(VLOOKUP(CONCATENATE(B16,"-",C16),Languages!$A:$D,1,TRUE)=CONCATENATE(B16,"-",C16),VLOOKUP(CONCATENATE(B16,"-",C16),Languages!$A:$D,Kybermittari!$C$7,TRUE),NA())</f>
        <v>Kyberturvallisuusriskien hallinta</v>
      </c>
      <c r="E16" s="93" t="str">
        <f ca="1">VLOOKUP(VLOOKUP(CONCATENATE(B16,"-",C16),Data!$K:$O,5,FALSE),Parameters!$C$7:$F$10,Kybermittari!$C$7,FALSE)</f>
        <v>Kypsyystaso 0</v>
      </c>
      <c r="F16" s="129" t="s">
        <v>74</v>
      </c>
      <c r="G16" s="139" t="str">
        <f>IF(VLOOKUP(F16,Languages!$A:$D,1,TRUE)=F16,VLOOKUP(F16,Languages!$A:$D,Kybermittari!$C$7,TRUE),NA())</f>
        <v>Tapahtumien ja häiriötilanteiden hallinta</v>
      </c>
      <c r="H16" s="140" t="str">
        <f ca="1">VLOOKUP(VLOOKUP(CONCATENATE(F16),Data!$K:$O,5,FALSE),Parameters!$C$7:$F$10,Kybermittari!$C$7,FALSE)</f>
        <v>Kypsyystaso 0</v>
      </c>
      <c r="I16" s="99"/>
      <c r="J16" s="59"/>
      <c r="K16" s="4"/>
      <c r="L16" s="73"/>
    </row>
    <row r="17" spans="1:12" ht="20" customHeight="1" x14ac:dyDescent="0.25">
      <c r="A17" s="4"/>
      <c r="B17" s="136" t="s">
        <v>0</v>
      </c>
      <c r="C17" s="137">
        <v>2</v>
      </c>
      <c r="D17" s="92" t="str">
        <f>IF(VLOOKUP(CONCATENATE(B17,"-",C17),Languages!$A:$D,1,TRUE)=CONCATENATE(B17,"-",C17),VLOOKUP(CONCATENATE(B17,"-",C17),Languages!$A:$D,Kybermittari!$C$7,TRUE),NA())</f>
        <v>Strategia kyberturvallisuusriskien hallintaan</v>
      </c>
      <c r="E17" s="93" t="str">
        <f ca="1">VLOOKUP(VLOOKUP(CONCATENATE(B17,"-",C17),Data!$K:$O,5,FALSE),Parameters!$C$7:$F$10,Kybermittari!$C$7,FALSE)</f>
        <v>Kypsyystaso 1</v>
      </c>
      <c r="F17" s="138">
        <v>1</v>
      </c>
      <c r="G17" s="92" t="str">
        <f>IF(VLOOKUP(CONCATENATE(I17,"-",F17),Languages!$A:$D,1,TRUE)=CONCATENATE(I17,"-",F17),VLOOKUP(CONCATENATE(I17,"-",F17),Languages!$A:$D,Kybermittari!$C$7,TRUE),NA())</f>
        <v>Kybertapahtumien havainnointi</v>
      </c>
      <c r="H17" s="93" t="str">
        <f ca="1">VLOOKUP(VLOOKUP(CONCATENATE(I17,"-",F17),Data!$K:$O,5,FALSE),Parameters!$C$7:$F$10,Kybermittari!$C$7,FALSE)</f>
        <v>Kypsyystaso 0</v>
      </c>
      <c r="I17" s="132" t="s">
        <v>74</v>
      </c>
      <c r="J17" s="59"/>
      <c r="K17" s="4"/>
      <c r="L17" s="73"/>
    </row>
    <row r="18" spans="1:12" ht="20" customHeight="1" x14ac:dyDescent="0.25">
      <c r="A18" s="4"/>
      <c r="B18" s="136" t="s">
        <v>0</v>
      </c>
      <c r="C18" s="137">
        <v>3</v>
      </c>
      <c r="D18" s="92" t="str">
        <f>IF(VLOOKUP(CONCATENATE(B18,"-",C18),Languages!$A:$D,1,TRUE)=CONCATENATE(B18,"-",C18),VLOOKUP(CONCATENATE(B18,"-",C18),Languages!$A:$D,Kybermittari!$C$7,TRUE),NA())</f>
        <v>Yleisiä hallintatoimia</v>
      </c>
      <c r="E18" s="93" t="str">
        <f ca="1">VLOOKUP(VLOOKUP(CONCATENATE(B18,"-",C18),Data!$K:$O,5,FALSE),Parameters!$C$7:$F$10,Kybermittari!$C$7,FALSE)</f>
        <v>Kypsyystaso 1</v>
      </c>
      <c r="F18" s="138">
        <v>2</v>
      </c>
      <c r="G18" s="92" t="str">
        <f>IF(VLOOKUP(CONCATENATE(I18,"-",F18),Languages!$A:$D,1,TRUE)=CONCATENATE(I18,"-",F18),VLOOKUP(CONCATENATE(I18,"-",F18),Languages!$A:$D,Kybermittari!$C$7,TRUE),NA())</f>
        <v>Kybertapahtumien analysointi ja häiriöksi korottaminen</v>
      </c>
      <c r="H18" s="93" t="str">
        <f ca="1">VLOOKUP(VLOOKUP(CONCATENATE(I18,"-",F18),Data!$K:$O,5,FALSE),Parameters!$C$7:$F$10,Kybermittari!$C$7,FALSE)</f>
        <v>Kypsyystaso 0</v>
      </c>
      <c r="I18" s="132" t="s">
        <v>74</v>
      </c>
      <c r="J18" s="59"/>
      <c r="K18" s="4"/>
      <c r="L18" s="73"/>
    </row>
    <row r="19" spans="1:12" ht="20" customHeight="1" x14ac:dyDescent="0.25">
      <c r="A19" s="4"/>
      <c r="B19" s="136"/>
      <c r="C19" s="137"/>
      <c r="D19" s="88"/>
      <c r="E19" s="87"/>
      <c r="F19" s="138">
        <v>3</v>
      </c>
      <c r="G19" s="92" t="str">
        <f>IF(VLOOKUP(CONCATENATE(I19,"-",F19),Languages!$A:$D,1,TRUE)=CONCATENATE(I19,"-",F19),VLOOKUP(CONCATENATE(I19,"-",F19),Languages!$A:$D,Kybermittari!$C$7,TRUE),NA())</f>
        <v>Kybertapahtumiin ja -häiriötilanteisiin reagointi</v>
      </c>
      <c r="H19" s="93" t="str">
        <f ca="1">VLOOKUP(VLOOKUP(CONCATENATE(I19,"-",F19),Data!$K:$O,5,FALSE),Parameters!$C$7:$F$10,Kybermittari!$C$7,FALSE)</f>
        <v>Kypsyystaso 0</v>
      </c>
      <c r="I19" s="132" t="s">
        <v>74</v>
      </c>
      <c r="J19" s="59"/>
      <c r="K19" s="4"/>
      <c r="L19" s="73"/>
    </row>
    <row r="20" spans="1:12" ht="20" customHeight="1" x14ac:dyDescent="0.25">
      <c r="A20" s="4"/>
      <c r="B20" s="136"/>
      <c r="C20" s="129" t="s">
        <v>77</v>
      </c>
      <c r="D20" s="139" t="str">
        <f>IF(VLOOKUP(C20,Languages!$A:$D,1,TRUE)=C20,VLOOKUP(C20,Languages!$A:$D,Kybermittari!$C$7,TRUE),NA())</f>
        <v>Toimitusketjun ja ulkoisten riippuvuuksien hallinta</v>
      </c>
      <c r="E20" s="140" t="str">
        <f ca="1">VLOOKUP(VLOOKUP(CONCATENATE(C20),Data!$K:$O,5,FALSE),Parameters!$C$7:$F$10,Kybermittari!$C$7,FALSE)</f>
        <v>Kypsyystaso 0</v>
      </c>
      <c r="F20" s="119">
        <v>4</v>
      </c>
      <c r="G20" s="92" t="str">
        <f>IF(VLOOKUP(CONCATENATE(I20,"-",F20),Languages!$A:$D,1,TRUE)=CONCATENATE(I20,"-",F20),VLOOKUP(CONCATENATE(I20,"-",F20),Languages!$A:$D,Kybermittari!$C$7,TRUE),NA())</f>
        <v>Yleisiä hallintatoimia</v>
      </c>
      <c r="H20" s="93" t="str">
        <f ca="1">VLOOKUP(VLOOKUP(CONCATENATE(I20,"-",F20),Data!$K:$O,5,FALSE),Parameters!$C$7:$F$10,Kybermittari!$C$7,FALSE)</f>
        <v>Kypsyystaso 1</v>
      </c>
      <c r="I20" s="132" t="s">
        <v>74</v>
      </c>
      <c r="J20" s="59"/>
      <c r="K20" s="4"/>
      <c r="L20" s="73"/>
    </row>
    <row r="21" spans="1:12" ht="20" customHeight="1" x14ac:dyDescent="0.25">
      <c r="A21" s="4"/>
      <c r="B21" s="136" t="s">
        <v>77</v>
      </c>
      <c r="C21" s="137">
        <v>1</v>
      </c>
      <c r="D21" s="92" t="str">
        <f>IF(VLOOKUP(CONCATENATE(B21,"-",C21),Languages!$A:$D,1,TRUE)=CONCATENATE(B21,"-",C21),VLOOKUP(CONCATENATE(B21,"-",C21),Languages!$A:$D,Kybermittari!$C$7,TRUE),NA())</f>
        <v>Riippuvuuksien tunnistaminen</v>
      </c>
      <c r="E21" s="93" t="str">
        <f ca="1">VLOOKUP(VLOOKUP(CONCATENATE(B21,"-",C21),Data!$K:$O,5,FALSE),Parameters!$C$7:$F$10,Kybermittari!$C$7,FALSE)</f>
        <v>Kypsyystaso 0</v>
      </c>
      <c r="F21" s="119"/>
      <c r="G21" s="88"/>
      <c r="H21" s="87"/>
      <c r="I21" s="133"/>
      <c r="J21" s="59"/>
      <c r="K21" s="4"/>
      <c r="L21" s="73"/>
    </row>
    <row r="22" spans="1:12" ht="20" customHeight="1" x14ac:dyDescent="0.25">
      <c r="A22" s="4"/>
      <c r="B22" s="136" t="s">
        <v>77</v>
      </c>
      <c r="C22" s="137">
        <v>2</v>
      </c>
      <c r="D22" s="92" t="str">
        <f>IF(VLOOKUP(CONCATENATE(B22,"-",C22),Languages!$A:$D,1,TRUE)=CONCATENATE(B22,"-",C22),VLOOKUP(CONCATENATE(B22,"-",C22),Languages!$A:$D,Kybermittari!$C$7,TRUE),NA())</f>
        <v>Riippuvuusriskien hallinta</v>
      </c>
      <c r="E22" s="93" t="str">
        <f ca="1">VLOOKUP(VLOOKUP(CONCATENATE(B22,"-",C22),Data!$K:$O,5,FALSE),Parameters!$C$7:$F$10,Kybermittari!$C$7,FALSE)</f>
        <v>Kypsyystaso 0</v>
      </c>
      <c r="F22" s="129" t="s">
        <v>80</v>
      </c>
      <c r="G22" s="139" t="str">
        <f>IF(VLOOKUP(F22,Languages!$A:$D,1,TRUE)=F22,VLOOKUP(F22,Languages!$A:$D,Kybermittari!$C$7,TRUE),NA())</f>
        <v>Henkilöstön hallinta</v>
      </c>
      <c r="H22" s="140" t="str">
        <f ca="1">VLOOKUP(VLOOKUP(CONCATENATE(F22),Data!$K:$O,5,FALSE),Parameters!$C$7:$F$10,Kybermittari!$C$7,FALSE)</f>
        <v>Kypsyystaso 0</v>
      </c>
      <c r="I22" s="99"/>
      <c r="J22" s="59"/>
      <c r="K22" s="4"/>
      <c r="L22" s="73"/>
    </row>
    <row r="23" spans="1:12" ht="20" customHeight="1" x14ac:dyDescent="0.25">
      <c r="A23" s="4"/>
      <c r="B23" s="136" t="s">
        <v>77</v>
      </c>
      <c r="C23" s="137">
        <v>3</v>
      </c>
      <c r="D23" s="92" t="str">
        <f>IF(VLOOKUP(CONCATENATE(B23,"-",C23),Languages!$A:$D,1,TRUE)=CONCATENATE(B23,"-",C23),VLOOKUP(CONCATENATE(B23,"-",C23),Languages!$A:$D,Kybermittari!$C$7,TRUE),NA())</f>
        <v>Yleisiä hallintatoimia</v>
      </c>
      <c r="E23" s="93" t="str">
        <f ca="1">VLOOKUP(VLOOKUP(CONCATENATE(B23,"-",C23),Data!$K:$O,5,FALSE),Parameters!$C$7:$F$10,Kybermittari!$C$7,FALSE)</f>
        <v>Kypsyystaso 1</v>
      </c>
      <c r="F23" s="138">
        <v>1</v>
      </c>
      <c r="G23" s="92" t="str">
        <f>IF(VLOOKUP(CONCATENATE(I23,"-",F23),Languages!$A:$D,1,TRUE)=CONCATENATE(I23,"-",F23),VLOOKUP(CONCATENATE(I23,"-",F23),Languages!$A:$D,Kybermittari!$C$7,TRUE),NA())</f>
        <v>Kyberturvallisuuden vastuiden jakaminen</v>
      </c>
      <c r="H23" s="93" t="str">
        <f ca="1">VLOOKUP(VLOOKUP(CONCATENATE(I23,"-",F23),Data!$K:$O,5,FALSE),Parameters!$C$7:$F$10,Kybermittari!$C$7,FALSE)</f>
        <v>Kypsyystaso 0</v>
      </c>
      <c r="I23" s="132" t="s">
        <v>80</v>
      </c>
      <c r="J23" s="59"/>
      <c r="K23" s="4"/>
      <c r="L23" s="73"/>
    </row>
    <row r="24" spans="1:12" ht="20" customHeight="1" x14ac:dyDescent="0.25">
      <c r="A24" s="4"/>
      <c r="B24" s="136"/>
      <c r="C24" s="137"/>
      <c r="D24" s="88"/>
      <c r="E24" s="87"/>
      <c r="F24" s="138">
        <v>2</v>
      </c>
      <c r="G24" s="92" t="str">
        <f>IF(VLOOKUP(CONCATENATE(I24,"-",F24),Languages!$A:$D,1,TRUE)=CONCATENATE(I24,"-",F24),VLOOKUP(CONCATENATE(I24,"-",F24),Languages!$A:$D,Kybermittari!$C$7,TRUE),NA())</f>
        <v>Kyberhenkilöstön kehittäminen</v>
      </c>
      <c r="H24" s="93" t="str">
        <f ca="1">VLOOKUP(VLOOKUP(CONCATENATE(I24,"-",F24),Data!$K:$O,5,FALSE),Parameters!$C$7:$F$10,Kybermittari!$C$7,FALSE)</f>
        <v>Kypsyystaso 0</v>
      </c>
      <c r="I24" s="132" t="s">
        <v>80</v>
      </c>
      <c r="J24" s="59"/>
      <c r="K24" s="4"/>
      <c r="L24" s="73"/>
    </row>
    <row r="25" spans="1:12" ht="20" customHeight="1" x14ac:dyDescent="0.25">
      <c r="A25" s="4"/>
      <c r="B25" s="136"/>
      <c r="C25" s="129" t="s">
        <v>51</v>
      </c>
      <c r="D25" s="139" t="str">
        <f>IF(VLOOKUP(C25,Languages!$A:$D,1,TRUE)=C25,VLOOKUP(C25,Languages!$A:$D,Kybermittari!$C$7,TRUE),NA())</f>
        <v>Omaisuuden, muutoksen ja konfiguraation hallinta</v>
      </c>
      <c r="E25" s="140" t="str">
        <f ca="1">VLOOKUP(VLOOKUP(CONCATENATE(C25),Data!$K:$O,5,FALSE),Parameters!$C$7:$F$10,Kybermittari!$C$7,FALSE)</f>
        <v>Kypsyystaso 0</v>
      </c>
      <c r="F25" s="138">
        <v>3</v>
      </c>
      <c r="G25" s="92" t="str">
        <f>IF(VLOOKUP(CONCATENATE(I25,"-",F25),Languages!$A:$D,1,TRUE)=CONCATENATE(I25,"-",F25),VLOOKUP(CONCATENATE(I25,"-",F25),Languages!$A:$D,Kybermittari!$C$7,TRUE),NA())</f>
        <v>Henkilöstön hallintatoimet</v>
      </c>
      <c r="H25" s="93" t="str">
        <f ca="1">VLOOKUP(VLOOKUP(CONCATENATE(I25,"-",F25),Data!$K:$O,5,FALSE),Parameters!$C$7:$F$10,Kybermittari!$C$7,FALSE)</f>
        <v>Kypsyystaso 0</v>
      </c>
      <c r="I25" s="132" t="s">
        <v>80</v>
      </c>
      <c r="J25" s="59"/>
      <c r="K25" s="4"/>
      <c r="L25" s="73"/>
    </row>
    <row r="26" spans="1:12" ht="20" customHeight="1" x14ac:dyDescent="0.25">
      <c r="A26" s="4"/>
      <c r="B26" s="136" t="s">
        <v>51</v>
      </c>
      <c r="C26" s="137">
        <v>1</v>
      </c>
      <c r="D26" s="92" t="str">
        <f>IF(VLOOKUP(CONCATENATE(B26,"-",C26),Languages!$A:$D,1,TRUE)=CONCATENATE(B26,"-",C26),VLOOKUP(CONCATENATE(B26,"-",C26),Languages!$A:$D,Kybermittari!$C$7,TRUE),NA())</f>
        <v>IT- ja OT-omaisuuden rekisterin hallinta</v>
      </c>
      <c r="E26" s="93" t="str">
        <f ca="1">VLOOKUP(VLOOKUP(CONCATENATE(B26,"-",C26),Data!$K:$O,5,FALSE),Parameters!$C$7:$F$10,Kybermittari!$C$7,FALSE)</f>
        <v>Kypsyystaso 0</v>
      </c>
      <c r="F26" s="119">
        <v>4</v>
      </c>
      <c r="G26" s="92" t="str">
        <f>IF(VLOOKUP(CONCATENATE(I26,"-",F26),Languages!$A:$D,1,TRUE)=CONCATENATE(I26,"-",F26),VLOOKUP(CONCATENATE(I26,"-",F26),Languages!$A:$D,Kybermittari!$C$7,TRUE),NA())</f>
        <v>Kybertietoisuuden lisääminen</v>
      </c>
      <c r="H26" s="93" t="str">
        <f ca="1">VLOOKUP(VLOOKUP(CONCATENATE(I26,"-",F26),Data!$K:$O,5,FALSE),Parameters!$C$7:$F$10,Kybermittari!$C$7,FALSE)</f>
        <v>Kypsyystaso 0</v>
      </c>
      <c r="I26" s="132" t="s">
        <v>80</v>
      </c>
      <c r="J26" s="59"/>
      <c r="K26" s="4"/>
      <c r="L26" s="73"/>
    </row>
    <row r="27" spans="1:12" ht="20" customHeight="1" x14ac:dyDescent="0.25">
      <c r="A27" s="4"/>
      <c r="B27" s="136" t="s">
        <v>51</v>
      </c>
      <c r="C27" s="137">
        <v>2</v>
      </c>
      <c r="D27" s="92" t="str">
        <f>IF(VLOOKUP(CONCATENATE(B27,"-",C27),Languages!$A:$D,1,TRUE)=CONCATENATE(B27,"-",C27),VLOOKUP(CONCATENATE(B27,"-",C27),Languages!$A:$D,Kybermittari!$C$7,TRUE),NA())</f>
        <v>Tietovarantojen rekisterin hallinta</v>
      </c>
      <c r="E27" s="93" t="str">
        <f ca="1">VLOOKUP(VLOOKUP(CONCATENATE(B27,"-",C27),Data!$K:$O,5,FALSE),Parameters!$C$7:$F$10,Kybermittari!$C$7,FALSE)</f>
        <v>Kypsyystaso 0</v>
      </c>
      <c r="F27" s="119">
        <v>5</v>
      </c>
      <c r="G27" s="92" t="str">
        <f>IF(VLOOKUP(CONCATENATE(I27,"-",F27),Languages!$A:$D,1,TRUE)=CONCATENATE(I27,"-",F27),VLOOKUP(CONCATENATE(I27,"-",F27),Languages!$A:$D,Kybermittari!$C$7,TRUE),NA())</f>
        <v>Yleisiä hallintatoimia</v>
      </c>
      <c r="H27" s="93" t="str">
        <f ca="1">VLOOKUP(VLOOKUP(CONCATENATE(I27,"-",F27),Data!$K:$O,5,FALSE),Parameters!$C$7:$F$10,Kybermittari!$C$7,FALSE)</f>
        <v>Kypsyystaso 1</v>
      </c>
      <c r="I27" s="132" t="s">
        <v>80</v>
      </c>
      <c r="J27" s="59"/>
      <c r="K27" s="4"/>
      <c r="L27" s="73"/>
    </row>
    <row r="28" spans="1:12" ht="20" customHeight="1" x14ac:dyDescent="0.25">
      <c r="A28" s="4"/>
      <c r="B28" s="136" t="s">
        <v>51</v>
      </c>
      <c r="C28" s="137">
        <v>3</v>
      </c>
      <c r="D28" s="92" t="str">
        <f>IF(VLOOKUP(CONCATENATE(B28,"-",C28),Languages!$A:$D,1,TRUE)=CONCATENATE(B28,"-",C28),VLOOKUP(CONCATENATE(B28,"-",C28),Languages!$A:$D,Kybermittari!$C$7,TRUE),NA())</f>
        <v>Suojattavan omaisuuden konfiguraation hallinta</v>
      </c>
      <c r="E28" s="93" t="str">
        <f ca="1">VLOOKUP(VLOOKUP(CONCATENATE(B28,"-",C28),Data!$K:$O,5,FALSE),Parameters!$C$7:$F$10,Kybermittari!$C$7,FALSE)</f>
        <v>Kypsyystaso 0</v>
      </c>
      <c r="F28" s="119"/>
      <c r="G28" s="88"/>
      <c r="H28" s="87"/>
      <c r="I28" s="133"/>
      <c r="J28" s="59"/>
      <c r="K28" s="4"/>
      <c r="L28" s="73"/>
    </row>
    <row r="29" spans="1:12" ht="20" customHeight="1" x14ac:dyDescent="0.25">
      <c r="A29" s="4"/>
      <c r="B29" s="136" t="s">
        <v>51</v>
      </c>
      <c r="C29" s="137">
        <v>4</v>
      </c>
      <c r="D29" s="92" t="str">
        <f>IF(VLOOKUP(CONCATENATE(B29,"-",C29),Languages!$A:$D,1,TRUE)=CONCATENATE(B29,"-",C29),VLOOKUP(CONCATENATE(B29,"-",C29),Languages!$A:$D,Kybermittari!$C$7,TRUE),NA())</f>
        <v>Suojattavien kohteiden muutoksenhallinta</v>
      </c>
      <c r="E29" s="93" t="str">
        <f ca="1">VLOOKUP(VLOOKUP(CONCATENATE(B29,"-",C29),Data!$K:$O,5,FALSE),Parameters!$C$7:$F$10,Kybermittari!$C$7,FALSE)</f>
        <v>Kypsyystaso 0</v>
      </c>
      <c r="F29" s="129" t="s">
        <v>83</v>
      </c>
      <c r="G29" s="139" t="str">
        <f>IF(VLOOKUP(F29,Languages!$A:$D,1,TRUE)=F29,VLOOKUP(F29,Languages!$A:$D,Kybermittari!$C$7,TRUE),NA())</f>
        <v>Kyberturvallisuusarkkitehtuuri</v>
      </c>
      <c r="H29" s="140" t="str">
        <f ca="1">VLOOKUP(VLOOKUP(CONCATENATE(F29),Data!$K:$O,5,FALSE),Parameters!$C$7:$F$10,Kybermittari!$C$7,FALSE)</f>
        <v>Kypsyystaso 0</v>
      </c>
      <c r="I29" s="99"/>
      <c r="J29" s="59"/>
      <c r="K29" s="4"/>
      <c r="L29" s="73"/>
    </row>
    <row r="30" spans="1:12" ht="20" customHeight="1" x14ac:dyDescent="0.25">
      <c r="A30" s="4"/>
      <c r="B30" s="136" t="s">
        <v>51</v>
      </c>
      <c r="C30" s="137">
        <v>5</v>
      </c>
      <c r="D30" s="92" t="str">
        <f>IF(VLOOKUP(CONCATENATE(B30,"-",C30),Languages!$A:$D,1,TRUE)=CONCATENATE(B30,"-",C30),VLOOKUP(CONCATENATE(B30,"-",C30),Languages!$A:$D,Kybermittari!$C$7,TRUE),NA())</f>
        <v>Yleisiä hallintatoimia</v>
      </c>
      <c r="E30" s="93" t="str">
        <f ca="1">VLOOKUP(VLOOKUP(CONCATENATE(B30,"-",C30),Data!$K:$O,5,FALSE),Parameters!$C$7:$F$10,Kybermittari!$C$7,FALSE)</f>
        <v>Kypsyystaso 1</v>
      </c>
      <c r="F30" s="138">
        <v>1</v>
      </c>
      <c r="G30" s="92" t="str">
        <f>IF(VLOOKUP(CONCATENATE(I30,"-",F30),Languages!$A:$D,1,TRUE)=CONCATENATE(I30,"-",F30),VLOOKUP(CONCATENATE(I30,"-",F30),Languages!$A:$D,Kybermittari!$C$7,TRUE),NA())</f>
        <v>Kyberturvallisuusarkkitehtuuris ja -kehitysohjelma</v>
      </c>
      <c r="H30" s="93" t="str">
        <f ca="1">VLOOKUP(VLOOKUP(CONCATENATE(I30,"-",F30),Data!$K:$O,5,FALSE),Parameters!$C$7:$F$10,Kybermittari!$C$7,FALSE)</f>
        <v>Kypsyystaso 0</v>
      </c>
      <c r="I30" s="132" t="s">
        <v>83</v>
      </c>
      <c r="J30" s="59"/>
      <c r="K30" s="4"/>
      <c r="L30" s="73"/>
    </row>
    <row r="31" spans="1:12" ht="20" customHeight="1" x14ac:dyDescent="0.25">
      <c r="A31" s="4"/>
      <c r="B31" s="136"/>
      <c r="C31" s="137"/>
      <c r="D31" s="88"/>
      <c r="E31" s="87"/>
      <c r="F31" s="138">
        <v>2</v>
      </c>
      <c r="G31" s="92" t="str">
        <f>IF(VLOOKUP(CONCATENATE(I31,"-",F31),Languages!$A:$D,1,TRUE)=CONCATENATE(I31,"-",F31),VLOOKUP(CONCATENATE(I31,"-",F31),Languages!$A:$D,Kybermittari!$C$7,TRUE),NA())</f>
        <v>Verkkojen segmentointi osana kyberarkkitehtuuria</v>
      </c>
      <c r="H31" s="93" t="str">
        <f ca="1">VLOOKUP(VLOOKUP(CONCATENATE(I31,"-",F31),Data!$K:$O,5,FALSE),Parameters!$C$7:$F$10,Kybermittari!$C$7,FALSE)</f>
        <v>Kypsyystaso 0</v>
      </c>
      <c r="I31" s="132" t="s">
        <v>83</v>
      </c>
      <c r="J31" s="59"/>
      <c r="K31" s="4"/>
      <c r="L31" s="73"/>
    </row>
    <row r="32" spans="1:12" ht="20" customHeight="1" x14ac:dyDescent="0.25">
      <c r="A32" s="4"/>
      <c r="B32" s="136"/>
      <c r="C32" s="129" t="s">
        <v>64</v>
      </c>
      <c r="D32" s="139" t="str">
        <f>IF(VLOOKUP(C32,Languages!$A:$D,1,TRUE)=C32,VLOOKUP(C32,Languages!$A:$D,Kybermittari!$C$7,TRUE),NA())</f>
        <v>Identiteetin- ja pääsynhallinta</v>
      </c>
      <c r="E32" s="140" t="str">
        <f ca="1">VLOOKUP(VLOOKUP(CONCATENATE(C32),Data!$K:$O,5,FALSE),Parameters!$C$7:$F$10,Kybermittari!$C$7,FALSE)</f>
        <v>Kypsyystaso 0</v>
      </c>
      <c r="F32" s="138">
        <v>3</v>
      </c>
      <c r="G32" s="92" t="str">
        <f>IF(VLOOKUP(CONCATENATE(I32,"-",F32),Languages!$A:$D,1,TRUE)=CONCATENATE(I32,"-",F32),VLOOKUP(CONCATENATE(I32,"-",F32),Languages!$A:$D,Kybermittari!$C$7,TRUE),NA())</f>
        <v>Sovellusturvallisuus osana kyberarkkitehtuuria</v>
      </c>
      <c r="H32" s="93" t="str">
        <f ca="1">VLOOKUP(VLOOKUP(CONCATENATE(I32,"-",F32),Data!$K:$O,5,FALSE),Parameters!$C$7:$F$10,Kybermittari!$C$7,FALSE)</f>
        <v>Kypsyystaso 1</v>
      </c>
      <c r="I32" s="132" t="s">
        <v>83</v>
      </c>
      <c r="J32" s="59"/>
      <c r="K32" s="4"/>
      <c r="L32" s="73"/>
    </row>
    <row r="33" spans="1:15" ht="20" customHeight="1" x14ac:dyDescent="0.25">
      <c r="A33" s="4"/>
      <c r="B33" s="136" t="s">
        <v>64</v>
      </c>
      <c r="C33" s="137">
        <v>1</v>
      </c>
      <c r="D33" s="92" t="str">
        <f>IF(VLOOKUP(CONCATENATE(B33,"-",C33),Languages!$A:$D,1,TRUE)=CONCATENATE(B33,"-",C33),VLOOKUP(CONCATENATE(B33,"-",C33),Languages!$A:$D,Kybermittari!$C$7,TRUE),NA())</f>
        <v>Identiteettien hallinta</v>
      </c>
      <c r="E33" s="93" t="str">
        <f ca="1">VLOOKUP(VLOOKUP(CONCATENATE(B33,"-",C33),Data!$K:$O,5,FALSE),Parameters!$C$7:$F$10,Kybermittari!$C$7,FALSE)</f>
        <v>Kypsyystaso 0</v>
      </c>
      <c r="F33" s="119">
        <v>4</v>
      </c>
      <c r="G33" s="92" t="str">
        <f>IF(VLOOKUP(CONCATENATE(I33,"-",F33),Languages!$A:$D,1,TRUE)=CONCATENATE(I33,"-",F33),VLOOKUP(CONCATENATE(I33,"-",F33),Languages!$A:$D,Kybermittari!$C$7,TRUE),NA())</f>
        <v>Tietojensuojelu osana kyberarkkitehtuuria</v>
      </c>
      <c r="H33" s="93" t="str">
        <f ca="1">VLOOKUP(VLOOKUP(CONCATENATE(I33,"-",F33),Data!$K:$O,5,FALSE),Parameters!$C$7:$F$10,Kybermittari!$C$7,FALSE)</f>
        <v>Kypsyystaso 0</v>
      </c>
      <c r="I33" s="132" t="s">
        <v>83</v>
      </c>
      <c r="J33" s="59"/>
      <c r="K33" s="4"/>
      <c r="L33" s="73"/>
    </row>
    <row r="34" spans="1:15" ht="20" customHeight="1" x14ac:dyDescent="0.25">
      <c r="A34" s="4"/>
      <c r="B34" s="136" t="s">
        <v>64</v>
      </c>
      <c r="C34" s="137">
        <v>2</v>
      </c>
      <c r="D34" s="92" t="str">
        <f>IF(VLOOKUP(CONCATENATE(B34,"-",C34),Languages!$A:$D,1,TRUE)=CONCATENATE(B34,"-",C34),VLOOKUP(CONCATENATE(B34,"-",C34),Languages!$A:$D,Kybermittari!$C$7,TRUE),NA())</f>
        <v>Käyttöoikeuksien hallinta</v>
      </c>
      <c r="E34" s="93" t="str">
        <f ca="1">VLOOKUP(VLOOKUP(CONCATENATE(B34,"-",C34),Data!$K:$O,5,FALSE),Parameters!$C$7:$F$10,Kybermittari!$C$7,FALSE)</f>
        <v>Kypsyystaso 0</v>
      </c>
      <c r="F34" s="119">
        <v>5</v>
      </c>
      <c r="G34" s="92" t="str">
        <f>IF(VLOOKUP(CONCATENATE(I34,"-",F34),Languages!$A:$D,1,TRUE)=CONCATENATE(I34,"-",F34),VLOOKUP(CONCATENATE(I34,"-",F34),Languages!$A:$D,Kybermittari!$C$7,TRUE),NA())</f>
        <v>Yleisiä hallintatoimia</v>
      </c>
      <c r="H34" s="93" t="str">
        <f ca="1">VLOOKUP(VLOOKUP(CONCATENATE(I34,"-",F34),Data!$K:$O,5,FALSE),Parameters!$C$7:$F$10,Kybermittari!$C$7,FALSE)</f>
        <v>Kypsyystaso 1</v>
      </c>
      <c r="I34" s="132" t="s">
        <v>83</v>
      </c>
      <c r="J34" s="59"/>
      <c r="K34" s="4"/>
      <c r="L34" s="73"/>
    </row>
    <row r="35" spans="1:15" ht="20" customHeight="1" x14ac:dyDescent="0.25">
      <c r="A35" s="4"/>
      <c r="B35" s="136" t="s">
        <v>64</v>
      </c>
      <c r="C35" s="137">
        <v>3</v>
      </c>
      <c r="D35" s="92" t="str">
        <f>IF(VLOOKUP(CONCATENATE(B35,"-",C35),Languages!$A:$D,1,TRUE)=CONCATENATE(B35,"-",C35),VLOOKUP(CONCATENATE(B35,"-",C35),Languages!$A:$D,Kybermittari!$C$7,TRUE),NA())</f>
        <v>Yleisiä hallintatoimia</v>
      </c>
      <c r="E35" s="93" t="str">
        <f ca="1">VLOOKUP(VLOOKUP(CONCATENATE(B35,"-",C35),Data!$K:$O,5,FALSE),Parameters!$C$7:$F$10,Kybermittari!$C$7,FALSE)</f>
        <v>Kypsyystaso 1</v>
      </c>
      <c r="F35" s="119"/>
      <c r="G35" s="88"/>
      <c r="H35" s="87"/>
      <c r="I35" s="133"/>
      <c r="J35" s="59"/>
      <c r="K35" s="4"/>
      <c r="L35" s="73"/>
    </row>
    <row r="36" spans="1:15" ht="20" customHeight="1" x14ac:dyDescent="0.25">
      <c r="A36" s="4"/>
      <c r="B36" s="136"/>
      <c r="C36" s="137"/>
      <c r="D36" s="88"/>
      <c r="E36" s="87"/>
      <c r="F36" s="129" t="s">
        <v>85</v>
      </c>
      <c r="G36" s="139" t="str">
        <f>IF(VLOOKUP(F36,Languages!$A:$D,1,TRUE)=F36,VLOOKUP(F36,Languages!$A:$D,Kybermittari!$C$7,TRUE),NA())</f>
        <v>Kyberturvallisuusohjelma</v>
      </c>
      <c r="H36" s="140" t="str">
        <f ca="1">VLOOKUP(VLOOKUP(CONCATENATE(F36),Data!$K:$O,5,FALSE),Parameters!$C$7:$F$10,Kybermittari!$C$7,FALSE)</f>
        <v>Kypsyystaso 0</v>
      </c>
      <c r="I36" s="99"/>
      <c r="J36" s="59"/>
      <c r="K36" s="4"/>
      <c r="L36" s="73"/>
    </row>
    <row r="37" spans="1:15" ht="20" customHeight="1" x14ac:dyDescent="0.25">
      <c r="A37" s="4"/>
      <c r="B37" s="136"/>
      <c r="C37" s="129" t="s">
        <v>69</v>
      </c>
      <c r="D37" s="139" t="str">
        <f>IF(VLOOKUP(C37,Languages!$A:$D,1,TRUE)=C37,VLOOKUP(C37,Languages!$A:$D,Kybermittari!$C$7,TRUE),NA())</f>
        <v>Uhkien ja haavoittuvuuksien hallinta</v>
      </c>
      <c r="E37" s="140" t="str">
        <f ca="1">VLOOKUP(VLOOKUP(CONCATENATE(C37),Data!$K:$O,5,FALSE),Parameters!$C$7:$F$10,Kybermittari!$C$7,FALSE)</f>
        <v>Kypsyystaso 0</v>
      </c>
      <c r="F37" s="138">
        <v>1</v>
      </c>
      <c r="G37" s="92" t="str">
        <f>IF(VLOOKUP(CONCATENATE(I37,"-",F37),Languages!$A:$D,1,TRUE)=CONCATENATE(I37,"-",F37),VLOOKUP(CONCATENATE(I37,"-",F37),Languages!$A:$D,Kybermittari!$C$7,TRUE),NA())</f>
        <v>Kyberturvallisuusstrategia</v>
      </c>
      <c r="H37" s="93" t="str">
        <f ca="1">VLOOKUP(VLOOKUP(CONCATENATE(I37,"-",F37),Data!$K:$O,5,FALSE),Parameters!$C$7:$F$10,Kybermittari!$C$7,FALSE)</f>
        <v>Kypsyystaso 0</v>
      </c>
      <c r="I37" s="132" t="s">
        <v>85</v>
      </c>
      <c r="J37" s="59"/>
      <c r="K37" s="4"/>
      <c r="L37" s="73"/>
    </row>
    <row r="38" spans="1:15" ht="20" customHeight="1" x14ac:dyDescent="0.25">
      <c r="A38" s="4"/>
      <c r="B38" s="136" t="s">
        <v>69</v>
      </c>
      <c r="C38" s="137">
        <v>1</v>
      </c>
      <c r="D38" s="92" t="str">
        <f>IF(VLOOKUP(CONCATENATE(B38,"-",C38),Languages!$A:$D,1,TRUE)=CONCATENATE(B38,"-",C38),VLOOKUP(CONCATENATE(B38,"-",C38),Languages!$A:$D,Kybermittari!$C$7,TRUE),NA())</f>
        <v>Uhkien tunnistaminen ja hallinta</v>
      </c>
      <c r="E38" s="93" t="str">
        <f ca="1">VLOOKUP(VLOOKUP(CONCATENATE(B38,"-",C38),Data!$K:$O,5,FALSE),Parameters!$C$7:$F$10,Kybermittari!$C$7,FALSE)</f>
        <v>Kypsyystaso 0</v>
      </c>
      <c r="F38" s="138">
        <v>2</v>
      </c>
      <c r="G38" s="92" t="str">
        <f>IF(VLOOKUP(CONCATENATE(I38,"-",F38),Languages!$A:$D,1,TRUE)=CONCATENATE(I38,"-",F38),VLOOKUP(CONCATENATE(I38,"-",F38),Languages!$A:$D,Kybermittari!$C$7,TRUE),NA())</f>
        <v>Johdon tuki kyberturvallisuusohjelmalle</v>
      </c>
      <c r="H38" s="93" t="str">
        <f ca="1">VLOOKUP(VLOOKUP(CONCATENATE(I38,"-",F38),Data!$K:$O,5,FALSE),Parameters!$C$7:$F$10,Kybermittari!$C$7,FALSE)</f>
        <v>Kypsyystaso 0</v>
      </c>
      <c r="I38" s="132" t="s">
        <v>85</v>
      </c>
      <c r="J38" s="59"/>
      <c r="K38" s="4"/>
      <c r="L38" s="73"/>
    </row>
    <row r="39" spans="1:15" ht="20" customHeight="1" x14ac:dyDescent="0.25">
      <c r="A39" s="4"/>
      <c r="B39" s="136" t="s">
        <v>69</v>
      </c>
      <c r="C39" s="137">
        <v>2</v>
      </c>
      <c r="D39" s="92" t="str">
        <f>IF(VLOOKUP(CONCATENATE(B39,"-",C39),Languages!$A:$D,1,TRUE)=CONCATENATE(B39,"-",C39),VLOOKUP(CONCATENATE(B39,"-",C39),Languages!$A:$D,Kybermittari!$C$7,TRUE),NA())</f>
        <v>Haavoittuvuuksien rajoittaminen</v>
      </c>
      <c r="E39" s="93" t="str">
        <f ca="1">VLOOKUP(VLOOKUP(CONCATENATE(B39,"-",C39),Data!$K:$O,5,FALSE),Parameters!$C$7:$F$10,Kybermittari!$C$7,FALSE)</f>
        <v>Kypsyystaso 0</v>
      </c>
      <c r="F39" s="138">
        <v>3</v>
      </c>
      <c r="G39" s="92" t="str">
        <f>IF(VLOOKUP(CONCATENATE(I39,"-",F39),Languages!$A:$D,1,TRUE)=CONCATENATE(I39,"-",F39),VLOOKUP(CONCATENATE(I39,"-",F39),Languages!$A:$D,Kybermittari!$C$7,TRUE),NA())</f>
        <v>Kyberturvallisuus osana jatkuvuussuunnittelua</v>
      </c>
      <c r="H39" s="93" t="str">
        <f ca="1">VLOOKUP(VLOOKUP(CONCATENATE(I39,"-",F39),Data!$K:$O,5,FALSE),Parameters!$C$7:$F$10,Kybermittari!$C$7,FALSE)</f>
        <v>Kypsyystaso 0</v>
      </c>
      <c r="I39" s="132" t="s">
        <v>85</v>
      </c>
      <c r="J39" s="59"/>
      <c r="K39" s="4"/>
      <c r="L39" s="73"/>
    </row>
    <row r="40" spans="1:15" ht="20" customHeight="1" x14ac:dyDescent="0.25">
      <c r="A40" s="4"/>
      <c r="B40" s="136" t="s">
        <v>69</v>
      </c>
      <c r="C40" s="137">
        <v>3</v>
      </c>
      <c r="D40" s="92" t="str">
        <f>IF(VLOOKUP(CONCATENATE(B40,"-",C40),Languages!$A:$D,1,TRUE)=CONCATENATE(B40,"-",C40),VLOOKUP(CONCATENATE(B40,"-",C40),Languages!$A:$D,Kybermittari!$C$7,TRUE),NA())</f>
        <v>Yleisiä hallintatoimia</v>
      </c>
      <c r="E40" s="93" t="str">
        <f ca="1">VLOOKUP(VLOOKUP(CONCATENATE(B40,"-",C40),Data!$K:$O,5,FALSE),Parameters!$C$7:$F$10,Kybermittari!$C$7,FALSE)</f>
        <v>Kypsyystaso 1</v>
      </c>
      <c r="F40" s="119">
        <v>4</v>
      </c>
      <c r="G40" s="92" t="str">
        <f>IF(VLOOKUP(CONCATENATE(I40,"-",F40),Languages!$A:$D,1,TRUE)=CONCATENATE(I40,"-",F40),VLOOKUP(CONCATENATE(I40,"-",F40),Languages!$A:$D,Kybermittari!$C$7,TRUE),NA())</f>
        <v>Yleisiä hallintatoimia</v>
      </c>
      <c r="H40" s="93" t="str">
        <f ca="1">VLOOKUP(VLOOKUP(CONCATENATE(I40,"-",F40),Data!$K:$O,5,FALSE),Parameters!$C$7:$F$10,Kybermittari!$C$7,FALSE)</f>
        <v>Kypsyystaso 1</v>
      </c>
      <c r="I40" s="132" t="s">
        <v>85</v>
      </c>
      <c r="J40" s="59"/>
      <c r="K40" s="4"/>
      <c r="L40" s="73"/>
    </row>
    <row r="41" spans="1:15" ht="10" customHeight="1" x14ac:dyDescent="0.25">
      <c r="A41" s="4"/>
      <c r="B41" s="130"/>
      <c r="C41" s="131"/>
      <c r="D41" s="57"/>
      <c r="E41" s="81"/>
      <c r="F41" s="58"/>
      <c r="G41" s="58"/>
      <c r="H41" s="58"/>
      <c r="I41" s="134"/>
      <c r="J41" s="59"/>
      <c r="K41" s="4"/>
      <c r="L41" s="73"/>
    </row>
    <row r="42" spans="1:15" s="27" customFormat="1" ht="30" customHeight="1" x14ac:dyDescent="0.25">
      <c r="A42" s="55"/>
      <c r="B42" s="60"/>
      <c r="C42" s="67"/>
      <c r="E42" s="63"/>
      <c r="F42" s="63"/>
      <c r="G42" s="63"/>
      <c r="H42" s="63"/>
      <c r="I42" s="63"/>
      <c r="J42" s="61"/>
      <c r="K42" s="55"/>
      <c r="L42" s="75"/>
      <c r="M42" s="124"/>
      <c r="N42" s="124"/>
      <c r="O42" s="124"/>
    </row>
    <row r="43" spans="1:15" s="22" customFormat="1" ht="15" customHeight="1" x14ac:dyDescent="0.25">
      <c r="A43" s="21"/>
      <c r="B43" s="23"/>
      <c r="C43" s="31"/>
      <c r="D43" s="31"/>
      <c r="E43" s="80"/>
      <c r="F43" s="33"/>
      <c r="G43" s="33"/>
      <c r="H43" s="33"/>
      <c r="I43" s="33"/>
      <c r="J43" s="24"/>
      <c r="K43" s="21"/>
      <c r="L43" s="72"/>
      <c r="M43" s="125"/>
      <c r="N43" s="125"/>
      <c r="O43" s="125"/>
    </row>
    <row r="44" spans="1:15" s="22" customFormat="1" ht="18" customHeight="1" x14ac:dyDescent="0.25">
      <c r="A44" s="21"/>
      <c r="B44" s="21"/>
      <c r="C44" s="21"/>
      <c r="D44" s="25"/>
      <c r="E44" s="25"/>
      <c r="F44" s="21"/>
      <c r="G44" s="21"/>
      <c r="H44" s="21"/>
      <c r="I44" s="21"/>
      <c r="J44" s="21"/>
      <c r="K44" s="21"/>
      <c r="L44" s="72"/>
      <c r="M44" s="125"/>
      <c r="N44" s="125"/>
      <c r="O44" s="125"/>
    </row>
    <row r="45" spans="1:15" ht="29.5" customHeight="1" x14ac:dyDescent="0.25">
      <c r="A45" s="4"/>
      <c r="B45" s="108"/>
      <c r="C45" s="109"/>
      <c r="D45" s="782" t="str">
        <f>IF(VLOOKUP("KM74",Languages!$A:$D,1,TRUE)="KM74",VLOOKUP("KM74",Languages!$A:$D,Kybermittari!$C$7,TRUE),NA())</f>
        <v>Kypsyystasolle 1 vaadittavia toimenpiteitä</v>
      </c>
      <c r="E45" s="782"/>
      <c r="F45" s="782"/>
      <c r="G45" s="782"/>
      <c r="H45" s="782"/>
      <c r="I45" s="110"/>
      <c r="J45" s="111"/>
      <c r="K45" s="4"/>
      <c r="L45" s="73"/>
    </row>
    <row r="46" spans="1:15" s="27" customFormat="1" ht="10" customHeight="1" x14ac:dyDescent="0.25">
      <c r="A46" s="55"/>
      <c r="B46" s="56"/>
      <c r="C46" s="66"/>
      <c r="E46" s="63"/>
      <c r="F46" s="63"/>
      <c r="G46" s="63"/>
      <c r="H46" s="63"/>
      <c r="I46" s="63"/>
      <c r="J46" s="61"/>
      <c r="K46" s="55"/>
      <c r="L46" s="75"/>
      <c r="M46" s="124"/>
      <c r="N46" s="124"/>
      <c r="O46" s="124"/>
    </row>
    <row r="47" spans="1:15" s="27" customFormat="1" ht="40" customHeight="1" x14ac:dyDescent="0.25">
      <c r="A47" s="55"/>
      <c r="B47" s="90">
        <v>1</v>
      </c>
      <c r="C47" s="91" t="str">
        <f ca="1">_xlfn.IFNA(VLOOKUP("0-1-0-"&amp;B47,Data!$W:$X,2,FALSE),"")</f>
        <v>ACCESS-1a</v>
      </c>
      <c r="D47" s="783" t="str">
        <f ca="1">IFERROR("("&amp;VLOOKUP("0-1-0-"&amp;B47,Data!$W:$X,2,FALSE)&amp;") "&amp;IF(VLOOKUP(C47,Languages!$A:$D,1,TRUE)=C47,VLOOKUP(C47,Languages!$A:$D,Kybermittari!$C$7,TRUE),NA()),"")</f>
        <v>(ACCESS-1a) Niille henkilöille ja muille toimijoille (kuten laitteille, järjestelmille tai prosesseille), jotka tarvitsevat pääsyn suojattaviin kohteisiin luodaan identiteetit - ainakin tapauskohtaisesti. (Huom. tämä vaatimus ei estä jaettujen identiteettien käyttöä).</v>
      </c>
      <c r="E47" s="783"/>
      <c r="F47" s="91" t="str">
        <f ca="1">_xlfn.IFNA(VLOOKUP("0-1-0-"&amp;I47,Data!$W:$X,2,FALSE),"")</f>
        <v>ACCESS-1b</v>
      </c>
      <c r="G47" s="783" t="str">
        <f ca="1">IFERROR("("&amp;VLOOKUP("0-1-0-"&amp;I47,Data!$W:$X,2,FALSE)&amp;") "&amp;IF(VLOOKUP(F47,Languages!$A:$D,1,TRUE)=F47,VLOOKUP(F47,Languages!$A:$D,Kybermittari!$C$7,TRUE),NA()),"")</f>
        <v>(ACCESS-1b) Niille henkilöille ja toimijoille, jotka tarvitsevat pääsyn suojattaviin kohteisiin jaetaan pääsyvaltuustiedot (kuten salasanat, sertifikaatit, älykorit, avaimet, tunnusluvut tai vastaavat) - ainakin tapauskohtaisesti.</v>
      </c>
      <c r="H47" s="783"/>
      <c r="I47" s="89">
        <v>2</v>
      </c>
      <c r="J47" s="61"/>
      <c r="K47" s="55"/>
      <c r="L47" s="75"/>
      <c r="M47" s="124"/>
      <c r="N47" s="124"/>
      <c r="O47" s="124"/>
    </row>
    <row r="48" spans="1:15" s="27" customFormat="1" ht="40" customHeight="1" x14ac:dyDescent="0.25">
      <c r="A48" s="55"/>
      <c r="B48" s="90">
        <v>3</v>
      </c>
      <c r="C48" s="91" t="str">
        <f ca="1">_xlfn.IFNA(VLOOKUP("0-1-0-"&amp;B48,Data!$W:$X,2,FALSE),"")</f>
        <v>ACCESS-1c</v>
      </c>
      <c r="D48" s="783" t="str">
        <f ca="1">IFERROR("("&amp;VLOOKUP("0-1-0-"&amp;B48,Data!$W:$X,2,FALSE)&amp;") "&amp;IF(VLOOKUP(C48,Languages!$A:$D,1,TRUE)=C48,VLOOKUP(C48,Languages!$A:$D,Kybermittari!$C$7,TRUE),NA()),"")</f>
        <v>(ACCESS-1c) Kun identiteettejä ei enää tarvita, ne poistetaan käytöstä ("deprovision") - ainakin tapauskohtaisesti.</v>
      </c>
      <c r="E48" s="783"/>
      <c r="F48" s="91" t="str">
        <f ca="1">_xlfn.IFNA(VLOOKUP("0-1-0-"&amp;I48,Data!$W:$X,2,FALSE),"")</f>
        <v>ACCESS-2a</v>
      </c>
      <c r="G48" s="783" t="str">
        <f ca="1">IFERROR("("&amp;VLOOKUP("0-1-0-"&amp;I48,Data!$W:$X,2,FALSE)&amp;") "&amp;IF(VLOOKUP(F48,Languages!$A:$D,1,TRUE)=F48,VLOOKUP(F48,Languages!$A:$D,Kybermittari!$C$7,TRUE),NA()),"")</f>
        <v>(ACCESS-2a) 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v>
      </c>
      <c r="H48" s="783"/>
      <c r="I48" s="89">
        <v>4</v>
      </c>
      <c r="J48" s="61"/>
      <c r="K48" s="55"/>
      <c r="L48" s="75"/>
      <c r="M48" s="124"/>
      <c r="N48" s="124"/>
      <c r="O48" s="124"/>
    </row>
    <row r="49" spans="1:15" s="27" customFormat="1" ht="40" customHeight="1" x14ac:dyDescent="0.25">
      <c r="A49" s="55"/>
      <c r="B49" s="90">
        <v>5</v>
      </c>
      <c r="C49" s="91" t="str">
        <f ca="1">_xlfn.IFNA(VLOOKUP("0-1-0-"&amp;B49,Data!$W:$X,2,FALSE),"")</f>
        <v>ACCESS-2b</v>
      </c>
      <c r="D49" s="783" t="str">
        <f ca="1">IFERROR("("&amp;VLOOKUP("0-1-0-"&amp;B49,Data!$W:$X,2,FALSE)&amp;") "&amp;IF(VLOOKUP(C49,Languages!$A:$D,1,TRUE)=C49,VLOOKUP(C49,Languages!$A:$D,Kybermittari!$C$7,TRUE),NA()),"")</f>
        <v>(ACCESS-2b) Asetettuja vaatimuksia noudatetaan, kun päätetään käyttöoikeuksien myöntämisestä eri identiteeteille - ainakin tapauskohtaisesti.</v>
      </c>
      <c r="E49" s="783"/>
      <c r="F49" s="91" t="str">
        <f ca="1">_xlfn.IFNA(VLOOKUP("0-1-0-"&amp;I49,Data!$W:$X,2,FALSE),"")</f>
        <v>ACCESS-2c</v>
      </c>
      <c r="G49" s="783" t="str">
        <f ca="1">IFERROR("("&amp;VLOOKUP("0-1-0-"&amp;I49,Data!$W:$X,2,FALSE)&amp;") "&amp;IF(VLOOKUP(F49,Languages!$A:$D,1,TRUE)=F49,VLOOKUP(F49,Languages!$A:$D,Kybermittari!$C$7,TRUE),NA()),"")</f>
        <v>(ACCESS-2c) Kun käyttöoikeuksia ei enää tarvita, ne poistetaan käytöstä ("revoke") - ainakin tapauskohtaisesti.</v>
      </c>
      <c r="H49" s="783"/>
      <c r="I49" s="89">
        <v>6</v>
      </c>
      <c r="J49" s="61"/>
      <c r="K49" s="55"/>
      <c r="L49" s="75"/>
      <c r="M49" s="124"/>
      <c r="N49" s="124"/>
      <c r="O49" s="124"/>
    </row>
    <row r="50" spans="1:15" s="27" customFormat="1" ht="40" customHeight="1" x14ac:dyDescent="0.25">
      <c r="A50" s="55"/>
      <c r="B50" s="90">
        <v>7</v>
      </c>
      <c r="C50" s="91" t="str">
        <f ca="1">_xlfn.IFNA(VLOOKUP("0-1-0-"&amp;B50,Data!$W:$X,2,FALSE),"")</f>
        <v>ARCHITECTURE-1a</v>
      </c>
      <c r="D50" s="783" t="str">
        <f ca="1">IFERROR("("&amp;VLOOKUP("0-1-0-"&amp;B50,Data!$W:$X,2,FALSE)&amp;") "&amp;IF(VLOOKUP(C50,Languages!$A:$D,1,TRUE)=C50,VLOOKUP(C50,Languages!$A:$D,Kybermittari!$C$7,TRUE),NA()),"")</f>
        <v>(ARCHITECTURE-1a) Organisaatiolla on strategia kyberarkkitehtuurille (joka sisältää kyberarkkitehtuurin tavoitteet, prioriteetit, vastuut, ja seurannan) - vaikka sitä ei välttämättä kehitetä systemaattisesti.</v>
      </c>
      <c r="E50" s="783"/>
      <c r="F50" s="91" t="str">
        <f ca="1">_xlfn.IFNA(VLOOKUP("0-1-0-"&amp;I50,Data!$W:$X,2,FALSE),"")</f>
        <v>ARCHITECTURE-2a</v>
      </c>
      <c r="G50" s="783" t="str">
        <f ca="1">IFERROR("("&amp;VLOOKUP("0-1-0-"&amp;I50,Data!$W:$X,2,FALSE)&amp;") "&amp;IF(VLOOKUP(F50,Languages!$A:$D,1,TRUE)=F50,VLOOKUP(F50,Languages!$A:$D,Kybermittari!$C$7,TRUE),NA()),"")</f>
        <v>(ARCHITECTURE-2a) Organisaation IT-järjestelmät on eriytetty (mahdollisista) OT-järjestelmistä segmentoinnin avulla, joko fyysisesti (esim. ilmarako) tai loogisesti (esim. verkkokonfiguraatiot) - vaikka ei välttämättä systemaattisesti ja kaiken kattavasti. [Mikäli organisaatiolla ei ole OT-järjestelmiä (tai niihin verrattavissa olevia järjestelmiä), asetetaan tämä käytäntö täysin toteutetuksi.]</v>
      </c>
      <c r="H50" s="783"/>
      <c r="I50" s="89">
        <v>8</v>
      </c>
      <c r="J50" s="61"/>
      <c r="K50" s="55"/>
      <c r="L50" s="75"/>
      <c r="M50" s="124"/>
      <c r="N50" s="124"/>
      <c r="O50" s="124"/>
    </row>
    <row r="51" spans="1:15" s="27" customFormat="1" ht="40" customHeight="1" x14ac:dyDescent="0.25">
      <c r="A51" s="55"/>
      <c r="B51" s="90">
        <v>9</v>
      </c>
      <c r="C51" s="91" t="str">
        <f ca="1">_xlfn.IFNA(VLOOKUP("0-1-0-"&amp;B51,Data!$W:$X,2,FALSE),"")</f>
        <v>ARCHITECTURE-4a</v>
      </c>
      <c r="D51" s="783" t="str">
        <f ca="1">IFERROR("("&amp;VLOOKUP("0-1-0-"&amp;B51,Data!$W:$X,2,FALSE)&amp;") "&amp;IF(VLOOKUP(C51,Languages!$A:$D,1,TRUE)=C51,VLOOKUP(C51,Languages!$A:$D,Kybermittari!$C$7,TRUE),NA()),"")</f>
        <v>(ARCHITECTURE-4a) Arkaluontoisia tietoja suojataan, kun se on talletettuna ("at rest") - ainakin tapauskohtaisesti. (Arkaluontoisia tietoja voivat olla esim. henkilö-, maksukortti- ja potilastiedot, immateriaalioikeudet tai operatiiviset tiedot). (Suojaustapoina voidaan käyttää esim. salausta, maskausta, salasanasuojausta tai pääsynhallintaa).</v>
      </c>
      <c r="E51" s="783"/>
      <c r="F51" s="91" t="str">
        <f ca="1">_xlfn.IFNA(VLOOKUP("0-1-0-"&amp;I51,Data!$W:$X,2,FALSE),"")</f>
        <v>ARCHITECTURE-4b</v>
      </c>
      <c r="G51" s="783" t="str">
        <f ca="1">IFERROR("("&amp;VLOOKUP("0-1-0-"&amp;I51,Data!$W:$X,2,FALSE)&amp;") "&amp;IF(VLOOKUP(F51,Languages!$A:$D,1,TRUE)=F51,VLOOKUP(F51,Languages!$A:$D,Kybermittari!$C$7,TRUE),NA()),"")</f>
        <v>(ARCHITECTURE-4b) Arkaluontoisia tietoja suojataan siirron yhteydessä ("at transit") - ainakin tapauskohtaisesti [kts. ASSET-2c]. (Suojaustapoja voidaan käyttää esim. salausta, maskausta tai siirtoa suojatuissa kanavissa).</v>
      </c>
      <c r="H51" s="783"/>
      <c r="I51" s="89">
        <v>10</v>
      </c>
      <c r="J51" s="61"/>
      <c r="K51" s="55"/>
      <c r="L51" s="75"/>
      <c r="M51" s="124"/>
      <c r="N51" s="124"/>
      <c r="O51" s="124"/>
    </row>
    <row r="52" spans="1:15" s="27" customFormat="1" ht="40" customHeight="1" x14ac:dyDescent="0.25">
      <c r="A52" s="55"/>
      <c r="B52" s="90">
        <v>11</v>
      </c>
      <c r="C52" s="91" t="str">
        <f ca="1">_xlfn.IFNA(VLOOKUP("0-1-0-"&amp;B52,Data!$W:$X,2,FALSE),"")</f>
        <v>ASSET-1a</v>
      </c>
      <c r="D52" s="783" t="str">
        <f ca="1">IFERROR("("&amp;VLOOKUP("0-1-0-"&amp;B52,Data!$W:$X,2,FALSE)&amp;") "&amp;IF(VLOOKUP(C52,Languages!$A:$D,1,TRUE)=C52,VLOOKUP(C52,Languages!$A:$D,Kybermittari!$C$7,TRUE),NA()),"")</f>
        <v>(ASSET-1a) Organisaatiolla on rekisteri toiminnan osa-alueen toimintavarmuuden kannalta tärkeästä IT- ja OT-omaisuudesta - vaikka rekisterin ylläpito ei välttämättä ole systemaattista tai kaikenkattavaa.</v>
      </c>
      <c r="E52" s="783"/>
      <c r="F52" s="91" t="str">
        <f ca="1">_xlfn.IFNA(VLOOKUP("0-1-0-"&amp;I52,Data!$W:$X,2,FALSE),"")</f>
        <v>ASSET-2a</v>
      </c>
      <c r="G52" s="783" t="str">
        <f ca="1">IFERROR("("&amp;VLOOKUP("0-1-0-"&amp;I52,Data!$W:$X,2,FALSE)&amp;") "&amp;IF(VLOOKUP(F52,Languages!$A:$D,1,TRUE)=F52,VLOOKUP(F52,Languages!$A:$D,Kybermittari!$C$7,TRUE),NA()),"")</f>
        <v>(ASSET-2a) 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v>
      </c>
      <c r="H52" s="783"/>
      <c r="I52" s="89">
        <v>12</v>
      </c>
      <c r="J52" s="61"/>
      <c r="K52" s="55"/>
      <c r="L52" s="75"/>
      <c r="M52" s="124"/>
      <c r="N52" s="124"/>
      <c r="O52" s="124"/>
    </row>
    <row r="53" spans="1:15" s="27" customFormat="1" ht="40" customHeight="1" x14ac:dyDescent="0.25">
      <c r="A53" s="55"/>
      <c r="B53" s="90">
        <v>13</v>
      </c>
      <c r="C53" s="91" t="str">
        <f ca="1">_xlfn.IFNA(VLOOKUP("0-1-0-"&amp;B53,Data!$W:$X,2,FALSE),"")</f>
        <v>ASSET-3a</v>
      </c>
      <c r="D53" s="783" t="str">
        <f ca="1">IFERROR("("&amp;VLOOKUP("0-1-0-"&amp;B53,Data!$W:$X,2,FALSE)&amp;") "&amp;IF(VLOOKUP(C53,Languages!$A:$D,1,TRUE)=C53,VLOOKUP(C53,Languages!$A:$D,Kybermittari!$C$7,TRUE),NA()),"")</f>
        <v>(ASSET-3a) Rekisteröityjen suojattavien kohteiden konfiguraatiolle määritetään vakioidut perusasetukset, silloin kun on tarpeellista varmistaa, että samankaltaiset kohteet on konfiguroitu samalla tavalla - vaikka ei välttämättä systemaattisesti ja kaiken kattavasti.</v>
      </c>
      <c r="E53" s="783"/>
      <c r="F53" s="91" t="str">
        <f ca="1">_xlfn.IFNA(VLOOKUP("0-1-0-"&amp;I53,Data!$W:$X,2,FALSE),"")</f>
        <v>ASSET-3b</v>
      </c>
      <c r="G53" s="783" t="str">
        <f ca="1">IFERROR("("&amp;VLOOKUP("0-1-0-"&amp;I53,Data!$W:$X,2,FALSE)&amp;") "&amp;IF(VLOOKUP(F53,Languages!$A:$D,1,TRUE)=F53,VLOOKUP(F53,Languages!$A:$D,Kybermittari!$C$7,TRUE),NA()),"")</f>
        <v>(ASSET-3b) Vakioituja perusasetuksia käytetään suojattavien kohteiden käyttöönotossa ja käyttöön palautuksessa - ainakin tapauskohtaisesti.</v>
      </c>
      <c r="H53" s="783"/>
      <c r="I53" s="89">
        <v>14</v>
      </c>
      <c r="J53" s="61"/>
      <c r="K53" s="55"/>
      <c r="L53" s="75"/>
      <c r="M53" s="124"/>
      <c r="N53" s="124"/>
      <c r="O53" s="124"/>
    </row>
    <row r="54" spans="1:15" s="22" customFormat="1" ht="15" customHeight="1" x14ac:dyDescent="0.25">
      <c r="A54" s="21"/>
      <c r="B54" s="23"/>
      <c r="C54" s="31"/>
      <c r="D54" s="31"/>
      <c r="E54" s="80"/>
      <c r="F54" s="33"/>
      <c r="G54" s="33"/>
      <c r="H54" s="33"/>
      <c r="I54" s="33"/>
      <c r="J54" s="24"/>
      <c r="K54" s="21"/>
      <c r="L54" s="72"/>
      <c r="M54" s="125"/>
      <c r="N54" s="125"/>
      <c r="O54" s="125"/>
    </row>
    <row r="55" spans="1:15" s="22" customFormat="1" ht="18" customHeight="1" x14ac:dyDescent="0.25">
      <c r="A55" s="21"/>
      <c r="B55" s="21"/>
      <c r="C55" s="21"/>
      <c r="D55" s="25"/>
      <c r="E55" s="25"/>
      <c r="F55" s="21"/>
      <c r="G55" s="21"/>
      <c r="H55" s="21"/>
      <c r="I55" s="21"/>
      <c r="J55" s="21"/>
      <c r="K55" s="21"/>
      <c r="L55" s="72"/>
      <c r="M55" s="125"/>
      <c r="N55" s="125"/>
      <c r="O55" s="125"/>
    </row>
  </sheetData>
  <sheetProtection sheet="1" objects="1" scenarios="1"/>
  <mergeCells count="16">
    <mergeCell ref="D6:G6"/>
    <mergeCell ref="D45:H45"/>
    <mergeCell ref="D47:E47"/>
    <mergeCell ref="D53:E53"/>
    <mergeCell ref="D48:E48"/>
    <mergeCell ref="D49:E49"/>
    <mergeCell ref="D50:E50"/>
    <mergeCell ref="D51:E51"/>
    <mergeCell ref="D52:E52"/>
    <mergeCell ref="G52:H52"/>
    <mergeCell ref="G53:H53"/>
    <mergeCell ref="G47:H47"/>
    <mergeCell ref="G48:H48"/>
    <mergeCell ref="G49:H49"/>
    <mergeCell ref="G50:H50"/>
    <mergeCell ref="G51:H51"/>
  </mergeCells>
  <conditionalFormatting sqref="I10">
    <cfRule type="containsText" dxfId="17" priority="119" operator="containsText" text="1">
      <formula>NOT(ISERROR(SEARCH("1",I10)))</formula>
    </cfRule>
    <cfRule type="containsText" dxfId="16" priority="120" operator="containsText" text="0">
      <formula>NOT(ISERROR(SEARCH("0",I10)))</formula>
    </cfRule>
  </conditionalFormatting>
  <conditionalFormatting sqref="I36">
    <cfRule type="containsText" dxfId="15" priority="111" operator="containsText" text="1">
      <formula>NOT(ISERROR(SEARCH("1",I36)))</formula>
    </cfRule>
    <cfRule type="containsText" dxfId="14" priority="112" operator="containsText" text="0">
      <formula>NOT(ISERROR(SEARCH("0",I36)))</formula>
    </cfRule>
  </conditionalFormatting>
  <conditionalFormatting sqref="I16">
    <cfRule type="containsText" dxfId="13" priority="117" operator="containsText" text="1">
      <formula>NOT(ISERROR(SEARCH("1",I16)))</formula>
    </cfRule>
    <cfRule type="containsText" dxfId="12" priority="118" operator="containsText" text="0">
      <formula>NOT(ISERROR(SEARCH("0",I16)))</formula>
    </cfRule>
  </conditionalFormatting>
  <conditionalFormatting sqref="I22">
    <cfRule type="containsText" dxfId="11" priority="115" operator="containsText" text="1">
      <formula>NOT(ISERROR(SEARCH("1",I22)))</formula>
    </cfRule>
    <cfRule type="containsText" dxfId="10" priority="116" operator="containsText" text="0">
      <formula>NOT(ISERROR(SEARCH("0",I22)))</formula>
    </cfRule>
  </conditionalFormatting>
  <conditionalFormatting sqref="I29">
    <cfRule type="containsText" dxfId="9" priority="113" operator="containsText" text="1">
      <formula>NOT(ISERROR(SEARCH("1",I29)))</formula>
    </cfRule>
    <cfRule type="containsText" dxfId="8" priority="114" operator="containsText" text="0">
      <formula>NOT(ISERROR(SEARCH("0",I29)))</formula>
    </cfRule>
  </conditionalFormatting>
  <conditionalFormatting sqref="E10">
    <cfRule type="containsText" dxfId="7" priority="95" operator="containsText" text="3">
      <formula>NOT(ISERROR(SEARCH("3",E10)))</formula>
    </cfRule>
    <cfRule type="containsText" dxfId="6" priority="96" operator="containsText" text="2">
      <formula>NOT(ISERROR(SEARCH("2",E10)))</formula>
    </cfRule>
    <cfRule type="containsText" dxfId="5" priority="97" operator="containsText" text="1">
      <formula>NOT(ISERROR(SEARCH("1",E10)))</formula>
    </cfRule>
    <cfRule type="containsText" dxfId="4" priority="98" operator="containsText" text="0">
      <formula>NOT(ISERROR(SEARCH("0",E10)))</formula>
    </cfRule>
  </conditionalFormatting>
  <conditionalFormatting sqref="H36 H29 H22 H16 H10 E37 E32 E25 E20 E15">
    <cfRule type="containsText" dxfId="3" priority="1" operator="containsText" text="3">
      <formula>NOT(ISERROR(SEARCH("3",E10)))</formula>
    </cfRule>
    <cfRule type="containsText" dxfId="2" priority="2" operator="containsText" text="2">
      <formula>NOT(ISERROR(SEARCH("2",E10)))</formula>
    </cfRule>
    <cfRule type="containsText" dxfId="1" priority="3" operator="containsText" text="1">
      <formula>NOT(ISERROR(SEARCH("1",E10)))</formula>
    </cfRule>
    <cfRule type="containsText" dxfId="0" priority="4" operator="containsText" text="0">
      <formula>NOT(ISERROR(SEARCH("0",E10)))</formula>
    </cfRule>
  </conditionalFormatting>
  <pageMargins left="0.70866141732283472" right="0.70866141732283472" top="0.74803149606299213" bottom="0.74803149606299213" header="0.31496062992125984" footer="0.31496062992125984"/>
  <pageSetup paperSize="9" scale="50" orientation="portrait" r:id="rId1"/>
  <rowBreaks count="1" manualBreakCount="1">
    <brk id="44"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S118"/>
  <sheetViews>
    <sheetView zoomScaleNormal="100" workbookViewId="0">
      <selection activeCell="D2" sqref="D2"/>
    </sheetView>
  </sheetViews>
  <sheetFormatPr defaultRowHeight="23" x14ac:dyDescent="0.45"/>
  <cols>
    <col min="1" max="2" width="1.640625" customWidth="1"/>
    <col min="3" max="3" width="2.640625" customWidth="1"/>
    <col min="4" max="4" width="12.640625" style="44" customWidth="1"/>
    <col min="5" max="5" width="5.640625" style="44" customWidth="1"/>
    <col min="6" max="6" width="18.640625" style="44" customWidth="1"/>
    <col min="7" max="7" width="35.640625" style="44" customWidth="1"/>
    <col min="8" max="8" width="7.640625" style="44" customWidth="1"/>
    <col min="9" max="9" width="55.640625" style="44" customWidth="1"/>
    <col min="10" max="10" width="12.640625" style="45" customWidth="1"/>
    <col min="11" max="11" width="8.640625" style="45" customWidth="1"/>
    <col min="12" max="12" width="8.640625" style="44" customWidth="1"/>
    <col min="13" max="13" width="3.640625" style="44" customWidth="1"/>
    <col min="14" max="14" width="8.640625" style="44" customWidth="1"/>
    <col min="15" max="15" width="3.640625" style="44" customWidth="1"/>
    <col min="16" max="16" width="8.640625" style="44" customWidth="1"/>
    <col min="17" max="17" width="3.640625" style="44" customWidth="1"/>
    <col min="18" max="19" width="1.640625" customWidth="1"/>
  </cols>
  <sheetData>
    <row r="1" spans="1:19" ht="13.5" customHeight="1" x14ac:dyDescent="0.25">
      <c r="A1" s="4"/>
      <c r="B1" s="4"/>
      <c r="C1" s="4"/>
      <c r="D1" s="4"/>
      <c r="E1" s="4"/>
      <c r="F1" s="4"/>
      <c r="G1" s="4"/>
      <c r="H1" s="4"/>
      <c r="I1" s="4"/>
      <c r="J1" s="4"/>
      <c r="K1" s="4"/>
      <c r="L1" s="4"/>
      <c r="M1" s="4"/>
      <c r="N1" s="4"/>
      <c r="O1" s="4"/>
      <c r="P1" s="4"/>
      <c r="Q1" s="4"/>
      <c r="R1" s="4"/>
      <c r="S1" s="4"/>
    </row>
    <row r="2" spans="1:19" ht="18" customHeight="1" x14ac:dyDescent="0.25">
      <c r="A2" s="8"/>
      <c r="B2" s="152"/>
      <c r="C2" s="153"/>
      <c r="D2" s="153"/>
      <c r="E2" s="153"/>
      <c r="F2" s="153"/>
      <c r="G2" s="153"/>
      <c r="H2" s="153"/>
      <c r="I2" s="153"/>
      <c r="J2" s="153"/>
      <c r="K2" s="153"/>
      <c r="L2" s="153"/>
      <c r="M2" s="153"/>
      <c r="N2" s="153"/>
      <c r="O2" s="153"/>
      <c r="P2" s="153"/>
      <c r="Q2" s="153"/>
      <c r="R2" s="154"/>
      <c r="S2" s="8"/>
    </row>
    <row r="3" spans="1:19" ht="18" customHeight="1" x14ac:dyDescent="0.45">
      <c r="A3" s="4"/>
      <c r="B3" s="155"/>
      <c r="C3" s="156"/>
      <c r="D3" s="157" t="s">
        <v>513</v>
      </c>
      <c r="E3" s="158"/>
      <c r="F3" s="158"/>
      <c r="G3" s="158"/>
      <c r="H3" s="158"/>
      <c r="I3" s="158"/>
      <c r="J3" s="159"/>
      <c r="K3" s="159"/>
      <c r="L3" s="158"/>
      <c r="M3" s="158"/>
      <c r="N3" s="158"/>
      <c r="O3" s="158"/>
      <c r="P3" s="158"/>
      <c r="Q3" s="158"/>
      <c r="R3" s="160"/>
      <c r="S3" s="55"/>
    </row>
    <row r="4" spans="1:19" ht="30" customHeight="1" x14ac:dyDescent="0.45">
      <c r="A4" s="4"/>
      <c r="B4" s="155"/>
      <c r="C4" s="156"/>
      <c r="D4" s="161" t="str">
        <f>IF(VLOOKUP("KM64",Languages!$A:$D,1,TRUE)="KM64",VLOOKUP("KM64",Languages!$A:$D,Kybermittari!$C$7,TRUE),NA())</f>
        <v>Yksityiskohtainen NIST Cybersecurity Framework Core -raportti</v>
      </c>
      <c r="E4" s="158"/>
      <c r="F4" s="158"/>
      <c r="G4" s="158"/>
      <c r="H4" s="158"/>
      <c r="I4" s="158"/>
      <c r="J4" s="159"/>
      <c r="K4" s="159"/>
      <c r="L4" s="158"/>
      <c r="M4" s="158"/>
      <c r="N4" s="158"/>
      <c r="O4" s="158"/>
      <c r="P4" s="158"/>
      <c r="Q4" s="158"/>
      <c r="R4" s="160"/>
      <c r="S4" s="55"/>
    </row>
    <row r="5" spans="1:19" ht="30" customHeight="1" x14ac:dyDescent="0.45">
      <c r="A5" s="4"/>
      <c r="B5" s="155"/>
      <c r="C5" s="156"/>
      <c r="D5" s="162" t="str">
        <f>IF(VLOOKUP("KM65",Languages!$A:$D,1,TRUE)="KM65",VLOOKUP("KM65",Languages!$A:$D,Kybermittari!$C$7,TRUE),NA())</f>
        <v xml:space="preserve"> Perustuen suuntaa-antavaan ristiinkytkentään C2M2 ja NIST-mallien välillä</v>
      </c>
      <c r="E5" s="158"/>
      <c r="F5" s="158"/>
      <c r="G5" s="158"/>
      <c r="H5" s="158"/>
      <c r="I5" s="158"/>
      <c r="J5" s="159"/>
      <c r="K5" s="159"/>
      <c r="L5" s="158"/>
      <c r="M5" s="158"/>
      <c r="N5" s="158"/>
      <c r="O5" s="158"/>
      <c r="P5" s="158"/>
      <c r="Q5" s="158"/>
      <c r="R5" s="160"/>
      <c r="S5" s="55"/>
    </row>
    <row r="6" spans="1:19" ht="15" customHeight="1" thickBot="1" x14ac:dyDescent="0.5">
      <c r="A6" s="4"/>
      <c r="B6" s="155"/>
      <c r="C6" s="156"/>
      <c r="D6" s="162"/>
      <c r="E6" s="158"/>
      <c r="F6" s="158"/>
      <c r="G6" s="158"/>
      <c r="H6" s="158"/>
      <c r="I6" s="158"/>
      <c r="J6" s="159"/>
      <c r="K6" s="159"/>
      <c r="L6" s="158"/>
      <c r="M6" s="158"/>
      <c r="N6" s="158"/>
      <c r="O6" s="158"/>
      <c r="P6" s="158"/>
      <c r="Q6" s="158"/>
      <c r="R6" s="160"/>
      <c r="S6" s="55"/>
    </row>
    <row r="7" spans="1:19" s="151" customFormat="1" ht="22" customHeight="1" thickBot="1" x14ac:dyDescent="0.4">
      <c r="A7" s="150"/>
      <c r="B7" s="166"/>
      <c r="C7" s="167"/>
      <c r="D7" s="787" t="s">
        <v>2495</v>
      </c>
      <c r="E7" s="788"/>
      <c r="F7" s="788"/>
      <c r="G7" s="788"/>
      <c r="H7" s="788"/>
      <c r="I7" s="788"/>
      <c r="J7" s="789" t="s">
        <v>2494</v>
      </c>
      <c r="K7" s="790"/>
      <c r="L7" s="791"/>
      <c r="M7" s="791"/>
      <c r="N7" s="791"/>
      <c r="O7" s="791"/>
      <c r="P7" s="791"/>
      <c r="Q7" s="792"/>
      <c r="R7" s="160"/>
      <c r="S7" s="55"/>
    </row>
    <row r="8" spans="1:19" s="149" customFormat="1" ht="30" customHeight="1" x14ac:dyDescent="0.25">
      <c r="A8" s="148"/>
      <c r="B8" s="168"/>
      <c r="C8" s="169"/>
      <c r="D8" s="254" t="s">
        <v>1291</v>
      </c>
      <c r="E8" s="255" t="s">
        <v>595</v>
      </c>
      <c r="F8" s="256" t="s">
        <v>960</v>
      </c>
      <c r="G8" s="256" t="s">
        <v>1292</v>
      </c>
      <c r="H8" s="255" t="s">
        <v>595</v>
      </c>
      <c r="I8" s="256" t="s">
        <v>1293</v>
      </c>
      <c r="J8" s="252" t="s">
        <v>1294</v>
      </c>
      <c r="K8" s="253" t="s">
        <v>1295</v>
      </c>
      <c r="L8" s="796" t="s">
        <v>1296</v>
      </c>
      <c r="M8" s="797"/>
      <c r="N8" s="798" t="s">
        <v>1297</v>
      </c>
      <c r="O8" s="797"/>
      <c r="P8" s="798" t="s">
        <v>1298</v>
      </c>
      <c r="Q8" s="799"/>
      <c r="R8" s="160"/>
      <c r="S8" s="55"/>
    </row>
    <row r="9" spans="1:19" ht="30" customHeight="1" x14ac:dyDescent="0.25">
      <c r="A9" s="4"/>
      <c r="B9" s="155"/>
      <c r="C9" s="170"/>
      <c r="D9" s="793" t="s">
        <v>1299</v>
      </c>
      <c r="E9" s="172" t="s">
        <v>1251</v>
      </c>
      <c r="F9" s="173" t="s">
        <v>1300</v>
      </c>
      <c r="G9" s="795" t="s">
        <v>1301</v>
      </c>
      <c r="H9" s="174" t="s">
        <v>1005</v>
      </c>
      <c r="I9" s="175" t="s">
        <v>1302</v>
      </c>
      <c r="J9" s="192">
        <f ca="1">NISTMap!M2</f>
        <v>0</v>
      </c>
      <c r="K9" s="188">
        <f>NISTMap!O2</f>
        <v>4</v>
      </c>
      <c r="L9" s="193">
        <f ca="1">NISTMap!P2</f>
        <v>0</v>
      </c>
      <c r="M9" s="194">
        <f>NISTMap!R2</f>
        <v>1</v>
      </c>
      <c r="N9" s="193">
        <f ca="1">NISTMap!S2</f>
        <v>0</v>
      </c>
      <c r="O9" s="195">
        <f>NISTMap!U2</f>
        <v>1</v>
      </c>
      <c r="P9" s="193">
        <f ca="1">NISTMap!V2</f>
        <v>0</v>
      </c>
      <c r="Q9" s="196">
        <f>NISTMap!X2</f>
        <v>2</v>
      </c>
      <c r="R9" s="160"/>
      <c r="S9" s="55"/>
    </row>
    <row r="10" spans="1:19" ht="30" customHeight="1" x14ac:dyDescent="0.25">
      <c r="A10" s="4"/>
      <c r="B10" s="155"/>
      <c r="C10" s="170"/>
      <c r="D10" s="793"/>
      <c r="E10" s="172"/>
      <c r="F10" s="173" t="s">
        <v>1303</v>
      </c>
      <c r="G10" s="795"/>
      <c r="H10" s="174" t="s">
        <v>1010</v>
      </c>
      <c r="I10" s="175" t="s">
        <v>1304</v>
      </c>
      <c r="J10" s="192">
        <f ca="1">NISTMap!M3</f>
        <v>0</v>
      </c>
      <c r="K10" s="188">
        <f>NISTMap!O3</f>
        <v>4</v>
      </c>
      <c r="L10" s="193">
        <f ca="1">NISTMap!P3</f>
        <v>0</v>
      </c>
      <c r="M10" s="194">
        <f>NISTMap!R3</f>
        <v>1</v>
      </c>
      <c r="N10" s="193">
        <f ca="1">NISTMap!S3</f>
        <v>0</v>
      </c>
      <c r="O10" s="195">
        <f>NISTMap!U3</f>
        <v>1</v>
      </c>
      <c r="P10" s="193">
        <f ca="1">NISTMap!V3</f>
        <v>0</v>
      </c>
      <c r="Q10" s="196">
        <f>NISTMap!X3</f>
        <v>2</v>
      </c>
      <c r="R10" s="160"/>
      <c r="S10" s="55"/>
    </row>
    <row r="11" spans="1:19" ht="30" customHeight="1" x14ac:dyDescent="0.25">
      <c r="A11" s="4"/>
      <c r="B11" s="155"/>
      <c r="C11" s="170"/>
      <c r="D11" s="793"/>
      <c r="E11" s="172"/>
      <c r="F11" s="173" t="s">
        <v>1303</v>
      </c>
      <c r="G11" s="795"/>
      <c r="H11" s="174" t="s">
        <v>1011</v>
      </c>
      <c r="I11" s="175" t="s">
        <v>1305</v>
      </c>
      <c r="J11" s="192">
        <f ca="1">NISTMap!M4</f>
        <v>0</v>
      </c>
      <c r="K11" s="188">
        <f>NISTMap!O4</f>
        <v>4</v>
      </c>
      <c r="L11" s="193">
        <f>NISTMap!P4</f>
        <v>0</v>
      </c>
      <c r="M11" s="194">
        <f>NISTMap!R4</f>
        <v>0</v>
      </c>
      <c r="N11" s="193">
        <f ca="1">NISTMap!S4</f>
        <v>0</v>
      </c>
      <c r="O11" s="195">
        <f>NISTMap!U4</f>
        <v>1</v>
      </c>
      <c r="P11" s="193">
        <f ca="1">NISTMap!V4</f>
        <v>0</v>
      </c>
      <c r="Q11" s="196">
        <f>NISTMap!X4</f>
        <v>3</v>
      </c>
      <c r="R11" s="160"/>
      <c r="S11" s="55"/>
    </row>
    <row r="12" spans="1:19" ht="30" customHeight="1" x14ac:dyDescent="0.25">
      <c r="A12" s="4"/>
      <c r="B12" s="155"/>
      <c r="C12" s="170"/>
      <c r="D12" s="793"/>
      <c r="E12" s="172"/>
      <c r="F12" s="173" t="s">
        <v>1303</v>
      </c>
      <c r="G12" s="795"/>
      <c r="H12" s="174" t="s">
        <v>1012</v>
      </c>
      <c r="I12" s="175" t="s">
        <v>1306</v>
      </c>
      <c r="J12" s="192">
        <f ca="1">NISTMap!M5</f>
        <v>0</v>
      </c>
      <c r="K12" s="188">
        <f>NISTMap!O5</f>
        <v>5</v>
      </c>
      <c r="L12" s="193">
        <f ca="1">NISTMap!P5</f>
        <v>0</v>
      </c>
      <c r="M12" s="194">
        <f>NISTMap!R5</f>
        <v>1</v>
      </c>
      <c r="N12" s="193">
        <f ca="1">NISTMap!S5</f>
        <v>0</v>
      </c>
      <c r="O12" s="195">
        <f>NISTMap!U5</f>
        <v>3</v>
      </c>
      <c r="P12" s="193">
        <f ca="1">NISTMap!V5</f>
        <v>0</v>
      </c>
      <c r="Q12" s="196">
        <f>NISTMap!X5</f>
        <v>1</v>
      </c>
      <c r="R12" s="160"/>
      <c r="S12" s="55"/>
    </row>
    <row r="13" spans="1:19" ht="45" customHeight="1" x14ac:dyDescent="0.25">
      <c r="A13" s="4"/>
      <c r="B13" s="155"/>
      <c r="C13" s="170"/>
      <c r="D13" s="793"/>
      <c r="E13" s="172"/>
      <c r="F13" s="173" t="s">
        <v>1303</v>
      </c>
      <c r="G13" s="795"/>
      <c r="H13" s="174" t="s">
        <v>983</v>
      </c>
      <c r="I13" s="175" t="s">
        <v>1307</v>
      </c>
      <c r="J13" s="192">
        <f ca="1">NISTMap!M6</f>
        <v>0</v>
      </c>
      <c r="K13" s="188">
        <f>NISTMap!O6</f>
        <v>7</v>
      </c>
      <c r="L13" s="193">
        <f ca="1">NISTMap!P6</f>
        <v>0</v>
      </c>
      <c r="M13" s="194">
        <f>NISTMap!R6</f>
        <v>2</v>
      </c>
      <c r="N13" s="193">
        <f ca="1">NISTMap!S6</f>
        <v>0</v>
      </c>
      <c r="O13" s="195">
        <f>NISTMap!U6</f>
        <v>4</v>
      </c>
      <c r="P13" s="193">
        <f ca="1">NISTMap!V6</f>
        <v>0</v>
      </c>
      <c r="Q13" s="196">
        <f>NISTMap!X6</f>
        <v>1</v>
      </c>
      <c r="R13" s="160"/>
      <c r="S13" s="55"/>
    </row>
    <row r="14" spans="1:19" ht="45" customHeight="1" x14ac:dyDescent="0.25">
      <c r="A14" s="4"/>
      <c r="B14" s="155"/>
      <c r="C14" s="170"/>
      <c r="D14" s="793"/>
      <c r="E14" s="172"/>
      <c r="F14" s="173" t="s">
        <v>1303</v>
      </c>
      <c r="G14" s="795"/>
      <c r="H14" s="174" t="s">
        <v>1019</v>
      </c>
      <c r="I14" s="175" t="s">
        <v>1308</v>
      </c>
      <c r="J14" s="192">
        <f ca="1">NISTMap!M7</f>
        <v>0</v>
      </c>
      <c r="K14" s="188">
        <f>NISTMap!O7</f>
        <v>4</v>
      </c>
      <c r="L14" s="193">
        <f ca="1">NISTMap!P7</f>
        <v>0</v>
      </c>
      <c r="M14" s="194">
        <f>NISTMap!R7</f>
        <v>2</v>
      </c>
      <c r="N14" s="193">
        <f ca="1">NISTMap!S7</f>
        <v>0</v>
      </c>
      <c r="O14" s="195">
        <f>NISTMap!U7</f>
        <v>2</v>
      </c>
      <c r="P14" s="193">
        <f>NISTMap!V7</f>
        <v>0</v>
      </c>
      <c r="Q14" s="196">
        <f>NISTMap!X7</f>
        <v>0</v>
      </c>
      <c r="R14" s="160"/>
      <c r="S14" s="55"/>
    </row>
    <row r="15" spans="1:19" ht="30" customHeight="1" x14ac:dyDescent="0.25">
      <c r="A15" s="4"/>
      <c r="B15" s="155"/>
      <c r="C15" s="170"/>
      <c r="D15" s="793"/>
      <c r="E15" s="212" t="s">
        <v>1252</v>
      </c>
      <c r="F15" s="177" t="s">
        <v>1309</v>
      </c>
      <c r="G15" s="785" t="s">
        <v>1310</v>
      </c>
      <c r="H15" s="178" t="s">
        <v>1023</v>
      </c>
      <c r="I15" s="179" t="s">
        <v>1311</v>
      </c>
      <c r="J15" s="197">
        <f ca="1">NISTMap!M8</f>
        <v>0</v>
      </c>
      <c r="K15" s="189">
        <f>NISTMap!O8</f>
        <v>5</v>
      </c>
      <c r="L15" s="198">
        <f ca="1">NISTMap!P8</f>
        <v>0</v>
      </c>
      <c r="M15" s="199">
        <f>NISTMap!R8</f>
        <v>1</v>
      </c>
      <c r="N15" s="198">
        <f ca="1">NISTMap!S8</f>
        <v>0</v>
      </c>
      <c r="O15" s="200">
        <f>NISTMap!U8</f>
        <v>3</v>
      </c>
      <c r="P15" s="198">
        <f ca="1">NISTMap!V8</f>
        <v>0</v>
      </c>
      <c r="Q15" s="201">
        <f>NISTMap!X8</f>
        <v>1</v>
      </c>
      <c r="R15" s="160"/>
      <c r="S15" s="55"/>
    </row>
    <row r="16" spans="1:19" ht="30" customHeight="1" x14ac:dyDescent="0.25">
      <c r="A16" s="4"/>
      <c r="B16" s="155"/>
      <c r="C16" s="170"/>
      <c r="D16" s="793"/>
      <c r="E16" s="213"/>
      <c r="F16" s="181" t="s">
        <v>1303</v>
      </c>
      <c r="G16" s="784"/>
      <c r="H16" s="182" t="s">
        <v>1027</v>
      </c>
      <c r="I16" s="183" t="s">
        <v>1312</v>
      </c>
      <c r="J16" s="192">
        <f ca="1">NISTMap!M9</f>
        <v>0</v>
      </c>
      <c r="K16" s="188">
        <f>NISTMap!O9</f>
        <v>6</v>
      </c>
      <c r="L16" s="193">
        <f ca="1">NISTMap!P9</f>
        <v>0</v>
      </c>
      <c r="M16" s="194">
        <f>NISTMap!R9</f>
        <v>1</v>
      </c>
      <c r="N16" s="193">
        <f ca="1">NISTMap!S9</f>
        <v>0</v>
      </c>
      <c r="O16" s="195">
        <f>NISTMap!U9</f>
        <v>4</v>
      </c>
      <c r="P16" s="193">
        <f ca="1">NISTMap!V9</f>
        <v>0</v>
      </c>
      <c r="Q16" s="196">
        <f>NISTMap!X9</f>
        <v>1</v>
      </c>
      <c r="R16" s="160"/>
      <c r="S16" s="55"/>
    </row>
    <row r="17" spans="1:19" ht="30" customHeight="1" x14ac:dyDescent="0.25">
      <c r="A17" s="4"/>
      <c r="B17" s="155"/>
      <c r="C17" s="170"/>
      <c r="D17" s="793"/>
      <c r="E17" s="213"/>
      <c r="F17" s="181" t="s">
        <v>1303</v>
      </c>
      <c r="G17" s="784"/>
      <c r="H17" s="182" t="s">
        <v>1029</v>
      </c>
      <c r="I17" s="183" t="s">
        <v>1313</v>
      </c>
      <c r="J17" s="192">
        <f ca="1">NISTMap!M10</f>
        <v>0</v>
      </c>
      <c r="K17" s="188">
        <f>NISTMap!O10</f>
        <v>1</v>
      </c>
      <c r="L17" s="193">
        <f>NISTMap!P10</f>
        <v>0</v>
      </c>
      <c r="M17" s="194">
        <f>NISTMap!R10</f>
        <v>0</v>
      </c>
      <c r="N17" s="193">
        <f ca="1">NISTMap!S10</f>
        <v>0</v>
      </c>
      <c r="O17" s="195">
        <f>NISTMap!U10</f>
        <v>1</v>
      </c>
      <c r="P17" s="193">
        <f>NISTMap!V10</f>
        <v>0</v>
      </c>
      <c r="Q17" s="196">
        <f>NISTMap!X10</f>
        <v>0</v>
      </c>
      <c r="R17" s="160"/>
      <c r="S17" s="55"/>
    </row>
    <row r="18" spans="1:19" ht="30" customHeight="1" x14ac:dyDescent="0.25">
      <c r="A18" s="4"/>
      <c r="B18" s="155"/>
      <c r="C18" s="170"/>
      <c r="D18" s="793"/>
      <c r="E18" s="213"/>
      <c r="F18" s="181" t="s">
        <v>1303</v>
      </c>
      <c r="G18" s="784"/>
      <c r="H18" s="182" t="s">
        <v>984</v>
      </c>
      <c r="I18" s="183" t="s">
        <v>1314</v>
      </c>
      <c r="J18" s="192">
        <f ca="1">NISTMap!M11</f>
        <v>0</v>
      </c>
      <c r="K18" s="188">
        <f>NISTMap!O11</f>
        <v>17</v>
      </c>
      <c r="L18" s="193">
        <f ca="1">NISTMap!P11</f>
        <v>0</v>
      </c>
      <c r="M18" s="194">
        <f>NISTMap!R11</f>
        <v>3</v>
      </c>
      <c r="N18" s="193">
        <f ca="1">NISTMap!S11</f>
        <v>0</v>
      </c>
      <c r="O18" s="195">
        <f>NISTMap!U11</f>
        <v>7</v>
      </c>
      <c r="P18" s="193">
        <f ca="1">NISTMap!V11</f>
        <v>0</v>
      </c>
      <c r="Q18" s="196">
        <f>NISTMap!X11</f>
        <v>7</v>
      </c>
      <c r="R18" s="160"/>
      <c r="S18" s="55"/>
    </row>
    <row r="19" spans="1:19" ht="45" customHeight="1" x14ac:dyDescent="0.25">
      <c r="A19" s="4"/>
      <c r="B19" s="155"/>
      <c r="C19" s="170"/>
      <c r="D19" s="793"/>
      <c r="E19" s="214"/>
      <c r="F19" s="185" t="s">
        <v>1303</v>
      </c>
      <c r="G19" s="786"/>
      <c r="H19" s="186" t="s">
        <v>1030</v>
      </c>
      <c r="I19" s="187" t="s">
        <v>1315</v>
      </c>
      <c r="J19" s="202">
        <f ca="1">NISTMap!M12</f>
        <v>0</v>
      </c>
      <c r="K19" s="190">
        <f>NISTMap!O12</f>
        <v>5</v>
      </c>
      <c r="L19" s="203">
        <f ca="1">NISTMap!P12</f>
        <v>0</v>
      </c>
      <c r="M19" s="204">
        <f>NISTMap!R12</f>
        <v>1</v>
      </c>
      <c r="N19" s="203">
        <f ca="1">NISTMap!S12</f>
        <v>0</v>
      </c>
      <c r="O19" s="205">
        <f>NISTMap!U12</f>
        <v>4</v>
      </c>
      <c r="P19" s="203">
        <f>NISTMap!V12</f>
        <v>0</v>
      </c>
      <c r="Q19" s="206">
        <f>NISTMap!X12</f>
        <v>0</v>
      </c>
      <c r="R19" s="160"/>
      <c r="S19" s="55"/>
    </row>
    <row r="20" spans="1:19" ht="30" customHeight="1" x14ac:dyDescent="0.25">
      <c r="A20" s="4"/>
      <c r="B20" s="155"/>
      <c r="C20" s="170"/>
      <c r="D20" s="793"/>
      <c r="E20" s="172" t="s">
        <v>1253</v>
      </c>
      <c r="F20" s="173" t="s">
        <v>1316</v>
      </c>
      <c r="G20" s="795" t="s">
        <v>1317</v>
      </c>
      <c r="H20" s="174" t="s">
        <v>1035</v>
      </c>
      <c r="I20" s="175" t="s">
        <v>1318</v>
      </c>
      <c r="J20" s="192">
        <f ca="1">NISTMap!M13</f>
        <v>0</v>
      </c>
      <c r="K20" s="188">
        <f>NISTMap!O13</f>
        <v>3</v>
      </c>
      <c r="L20" s="193">
        <f>NISTMap!P13</f>
        <v>0</v>
      </c>
      <c r="M20" s="194">
        <f>NISTMap!R13</f>
        <v>0</v>
      </c>
      <c r="N20" s="193">
        <f ca="1">NISTMap!S13</f>
        <v>0</v>
      </c>
      <c r="O20" s="195">
        <f>NISTMap!U13</f>
        <v>1</v>
      </c>
      <c r="P20" s="193">
        <f ca="1">NISTMap!V13</f>
        <v>0</v>
      </c>
      <c r="Q20" s="196">
        <f>NISTMap!X13</f>
        <v>2</v>
      </c>
      <c r="R20" s="160"/>
      <c r="S20" s="55"/>
    </row>
    <row r="21" spans="1:19" ht="30" customHeight="1" x14ac:dyDescent="0.25">
      <c r="A21" s="4"/>
      <c r="B21" s="155"/>
      <c r="C21" s="170"/>
      <c r="D21" s="793"/>
      <c r="E21" s="172"/>
      <c r="F21" s="173" t="s">
        <v>1303</v>
      </c>
      <c r="G21" s="795"/>
      <c r="H21" s="174" t="s">
        <v>985</v>
      </c>
      <c r="I21" s="175" t="s">
        <v>1319</v>
      </c>
      <c r="J21" s="192">
        <f ca="1">NISTMap!M14</f>
        <v>0</v>
      </c>
      <c r="K21" s="188">
        <f>NISTMap!O14</f>
        <v>6</v>
      </c>
      <c r="L21" s="193">
        <f ca="1">NISTMap!P14</f>
        <v>0</v>
      </c>
      <c r="M21" s="194">
        <f>NISTMap!R14</f>
        <v>2</v>
      </c>
      <c r="N21" s="193">
        <f ca="1">NISTMap!S14</f>
        <v>0</v>
      </c>
      <c r="O21" s="195">
        <f>NISTMap!U14</f>
        <v>2</v>
      </c>
      <c r="P21" s="193">
        <f ca="1">NISTMap!V14</f>
        <v>0</v>
      </c>
      <c r="Q21" s="196">
        <f>NISTMap!X14</f>
        <v>2</v>
      </c>
      <c r="R21" s="160"/>
      <c r="S21" s="55"/>
    </row>
    <row r="22" spans="1:19" ht="45" customHeight="1" x14ac:dyDescent="0.25">
      <c r="A22" s="4"/>
      <c r="B22" s="155"/>
      <c r="C22" s="170"/>
      <c r="D22" s="793"/>
      <c r="E22" s="172"/>
      <c r="F22" s="173" t="s">
        <v>1303</v>
      </c>
      <c r="G22" s="795"/>
      <c r="H22" s="174" t="s">
        <v>986</v>
      </c>
      <c r="I22" s="175" t="s">
        <v>1320</v>
      </c>
      <c r="J22" s="192">
        <f ca="1">NISTMap!M15</f>
        <v>0</v>
      </c>
      <c r="K22" s="188">
        <f>NISTMap!O15</f>
        <v>2</v>
      </c>
      <c r="L22" s="193">
        <f>NISTMap!P15</f>
        <v>0</v>
      </c>
      <c r="M22" s="194">
        <f>NISTMap!R15</f>
        <v>0</v>
      </c>
      <c r="N22" s="193">
        <f ca="1">NISTMap!S15</f>
        <v>0</v>
      </c>
      <c r="O22" s="195">
        <f>NISTMap!U15</f>
        <v>1</v>
      </c>
      <c r="P22" s="193">
        <f ca="1">NISTMap!V15</f>
        <v>0</v>
      </c>
      <c r="Q22" s="196">
        <f>NISTMap!X15</f>
        <v>1</v>
      </c>
      <c r="R22" s="160"/>
      <c r="S22" s="55"/>
    </row>
    <row r="23" spans="1:19" ht="30" customHeight="1" x14ac:dyDescent="0.25">
      <c r="A23" s="4"/>
      <c r="B23" s="155"/>
      <c r="C23" s="170"/>
      <c r="D23" s="793"/>
      <c r="E23" s="172"/>
      <c r="F23" s="173" t="s">
        <v>1303</v>
      </c>
      <c r="G23" s="795"/>
      <c r="H23" s="174" t="s">
        <v>1043</v>
      </c>
      <c r="I23" s="175" t="s">
        <v>1321</v>
      </c>
      <c r="J23" s="192">
        <f ca="1">NISTMap!M16</f>
        <v>0</v>
      </c>
      <c r="K23" s="188">
        <f>NISTMap!O16</f>
        <v>6</v>
      </c>
      <c r="L23" s="193">
        <f ca="1">NISTMap!P16</f>
        <v>0</v>
      </c>
      <c r="M23" s="194">
        <f>NISTMap!R16</f>
        <v>2</v>
      </c>
      <c r="N23" s="193">
        <f ca="1">NISTMap!S16</f>
        <v>0</v>
      </c>
      <c r="O23" s="195">
        <f>NISTMap!U16</f>
        <v>1</v>
      </c>
      <c r="P23" s="193">
        <f ca="1">NISTMap!V16</f>
        <v>0</v>
      </c>
      <c r="Q23" s="196">
        <f>NISTMap!X16</f>
        <v>3</v>
      </c>
      <c r="R23" s="160"/>
      <c r="S23" s="55"/>
    </row>
    <row r="24" spans="1:19" ht="30" customHeight="1" x14ac:dyDescent="0.25">
      <c r="A24" s="4"/>
      <c r="B24" s="155"/>
      <c r="C24" s="170"/>
      <c r="D24" s="793"/>
      <c r="E24" s="212" t="s">
        <v>1254</v>
      </c>
      <c r="F24" s="177" t="s">
        <v>1322</v>
      </c>
      <c r="G24" s="785" t="s">
        <v>1323</v>
      </c>
      <c r="H24" s="178" t="s">
        <v>1048</v>
      </c>
      <c r="I24" s="179" t="s">
        <v>1324</v>
      </c>
      <c r="J24" s="197">
        <f ca="1">NISTMap!M17</f>
        <v>0</v>
      </c>
      <c r="K24" s="189">
        <f>NISTMap!O17</f>
        <v>12</v>
      </c>
      <c r="L24" s="198">
        <f ca="1">NISTMap!P17</f>
        <v>0</v>
      </c>
      <c r="M24" s="199">
        <f>NISTMap!R17</f>
        <v>4</v>
      </c>
      <c r="N24" s="198">
        <f ca="1">NISTMap!S17</f>
        <v>0</v>
      </c>
      <c r="O24" s="200">
        <f>NISTMap!U17</f>
        <v>5</v>
      </c>
      <c r="P24" s="198">
        <f ca="1">NISTMap!V17</f>
        <v>0</v>
      </c>
      <c r="Q24" s="201">
        <f>NISTMap!X17</f>
        <v>3</v>
      </c>
      <c r="R24" s="160"/>
      <c r="S24" s="55"/>
    </row>
    <row r="25" spans="1:19" ht="30" customHeight="1" x14ac:dyDescent="0.25">
      <c r="A25" s="4"/>
      <c r="B25" s="155"/>
      <c r="C25" s="170"/>
      <c r="D25" s="793"/>
      <c r="E25" s="213"/>
      <c r="F25" s="181" t="s">
        <v>1303</v>
      </c>
      <c r="G25" s="784"/>
      <c r="H25" s="182" t="s">
        <v>1057</v>
      </c>
      <c r="I25" s="183" t="s">
        <v>1325</v>
      </c>
      <c r="J25" s="192">
        <f ca="1">NISTMap!M18</f>
        <v>0</v>
      </c>
      <c r="K25" s="188">
        <f>NISTMap!O18</f>
        <v>7</v>
      </c>
      <c r="L25" s="193">
        <f ca="1">NISTMap!P18</f>
        <v>0</v>
      </c>
      <c r="M25" s="194">
        <f>NISTMap!R18</f>
        <v>5</v>
      </c>
      <c r="N25" s="193">
        <f ca="1">NISTMap!S18</f>
        <v>0</v>
      </c>
      <c r="O25" s="195">
        <f>NISTMap!U18</f>
        <v>1</v>
      </c>
      <c r="P25" s="193">
        <f ca="1">NISTMap!V18</f>
        <v>0</v>
      </c>
      <c r="Q25" s="196">
        <f>NISTMap!X18</f>
        <v>1</v>
      </c>
      <c r="R25" s="160"/>
      <c r="S25" s="55"/>
    </row>
    <row r="26" spans="1:19" ht="30" customHeight="1" x14ac:dyDescent="0.25">
      <c r="A26" s="4"/>
      <c r="B26" s="155"/>
      <c r="C26" s="170"/>
      <c r="D26" s="793"/>
      <c r="E26" s="213"/>
      <c r="F26" s="181" t="s">
        <v>1303</v>
      </c>
      <c r="G26" s="784"/>
      <c r="H26" s="182" t="s">
        <v>1060</v>
      </c>
      <c r="I26" s="183" t="s">
        <v>1326</v>
      </c>
      <c r="J26" s="192">
        <f ca="1">NISTMap!M19</f>
        <v>0</v>
      </c>
      <c r="K26" s="188">
        <f>NISTMap!O19</f>
        <v>7</v>
      </c>
      <c r="L26" s="193">
        <f ca="1">NISTMap!P19</f>
        <v>0</v>
      </c>
      <c r="M26" s="194">
        <f>NISTMap!R19</f>
        <v>2</v>
      </c>
      <c r="N26" s="193">
        <f ca="1">NISTMap!S19</f>
        <v>0</v>
      </c>
      <c r="O26" s="195">
        <f>NISTMap!U19</f>
        <v>4</v>
      </c>
      <c r="P26" s="193">
        <f ca="1">NISTMap!V19</f>
        <v>0</v>
      </c>
      <c r="Q26" s="196">
        <f>NISTMap!X19</f>
        <v>1</v>
      </c>
      <c r="R26" s="160"/>
      <c r="S26" s="55"/>
    </row>
    <row r="27" spans="1:19" ht="30" customHeight="1" x14ac:dyDescent="0.25">
      <c r="A27" s="4"/>
      <c r="B27" s="155"/>
      <c r="C27" s="170"/>
      <c r="D27" s="793"/>
      <c r="E27" s="213"/>
      <c r="F27" s="181" t="s">
        <v>1303</v>
      </c>
      <c r="G27" s="784"/>
      <c r="H27" s="182" t="s">
        <v>1063</v>
      </c>
      <c r="I27" s="183" t="s">
        <v>1327</v>
      </c>
      <c r="J27" s="192">
        <f ca="1">NISTMap!M20</f>
        <v>0</v>
      </c>
      <c r="K27" s="188">
        <f>NISTMap!O20</f>
        <v>4</v>
      </c>
      <c r="L27" s="193">
        <f>NISTMap!P20</f>
        <v>0</v>
      </c>
      <c r="M27" s="194">
        <f>NISTMap!R20</f>
        <v>0</v>
      </c>
      <c r="N27" s="193">
        <f ca="1">NISTMap!S20</f>
        <v>0</v>
      </c>
      <c r="O27" s="195">
        <f>NISTMap!U20</f>
        <v>4</v>
      </c>
      <c r="P27" s="193">
        <f>NISTMap!V20</f>
        <v>0</v>
      </c>
      <c r="Q27" s="196">
        <f>NISTMap!X20</f>
        <v>0</v>
      </c>
      <c r="R27" s="160"/>
      <c r="S27" s="55"/>
    </row>
    <row r="28" spans="1:19" ht="30" customHeight="1" x14ac:dyDescent="0.25">
      <c r="A28" s="4"/>
      <c r="B28" s="155"/>
      <c r="C28" s="170"/>
      <c r="D28" s="793"/>
      <c r="E28" s="213"/>
      <c r="F28" s="181" t="s">
        <v>1303</v>
      </c>
      <c r="G28" s="784"/>
      <c r="H28" s="182" t="s">
        <v>1065</v>
      </c>
      <c r="I28" s="183" t="s">
        <v>1328</v>
      </c>
      <c r="J28" s="192">
        <f ca="1">NISTMap!M21</f>
        <v>0</v>
      </c>
      <c r="K28" s="188">
        <f>NISTMap!O21</f>
        <v>5</v>
      </c>
      <c r="L28" s="193">
        <f>NISTMap!P21</f>
        <v>0</v>
      </c>
      <c r="M28" s="194">
        <f>NISTMap!R21</f>
        <v>0</v>
      </c>
      <c r="N28" s="193">
        <f ca="1">NISTMap!S21</f>
        <v>0</v>
      </c>
      <c r="O28" s="195">
        <f>NISTMap!U21</f>
        <v>2</v>
      </c>
      <c r="P28" s="193">
        <f ca="1">NISTMap!V21</f>
        <v>0</v>
      </c>
      <c r="Q28" s="196">
        <f>NISTMap!X21</f>
        <v>3</v>
      </c>
      <c r="R28" s="160"/>
      <c r="S28" s="55"/>
    </row>
    <row r="29" spans="1:19" ht="30" customHeight="1" x14ac:dyDescent="0.25">
      <c r="A29" s="4"/>
      <c r="B29" s="155"/>
      <c r="C29" s="170"/>
      <c r="D29" s="793"/>
      <c r="E29" s="214"/>
      <c r="F29" s="185" t="s">
        <v>1303</v>
      </c>
      <c r="G29" s="786"/>
      <c r="H29" s="186" t="s">
        <v>1066</v>
      </c>
      <c r="I29" s="187" t="s">
        <v>1329</v>
      </c>
      <c r="J29" s="202">
        <f ca="1">NISTMap!M22</f>
        <v>0</v>
      </c>
      <c r="K29" s="190">
        <f>NISTMap!O22</f>
        <v>6</v>
      </c>
      <c r="L29" s="203">
        <f>NISTMap!P22</f>
        <v>0</v>
      </c>
      <c r="M29" s="204">
        <f>NISTMap!R22</f>
        <v>0</v>
      </c>
      <c r="N29" s="203">
        <f ca="1">NISTMap!S22</f>
        <v>0</v>
      </c>
      <c r="O29" s="205">
        <f>NISTMap!U22</f>
        <v>4</v>
      </c>
      <c r="P29" s="203">
        <f ca="1">NISTMap!V22</f>
        <v>0</v>
      </c>
      <c r="Q29" s="206">
        <f>NISTMap!X22</f>
        <v>2</v>
      </c>
      <c r="R29" s="160"/>
      <c r="S29" s="55"/>
    </row>
    <row r="30" spans="1:19" ht="30" customHeight="1" x14ac:dyDescent="0.25">
      <c r="A30" s="4"/>
      <c r="B30" s="155"/>
      <c r="C30" s="170"/>
      <c r="D30" s="793"/>
      <c r="E30" s="172" t="s">
        <v>1255</v>
      </c>
      <c r="F30" s="173" t="s">
        <v>1330</v>
      </c>
      <c r="G30" s="795" t="s">
        <v>1331</v>
      </c>
      <c r="H30" s="174" t="s">
        <v>1068</v>
      </c>
      <c r="I30" s="175" t="s">
        <v>1332</v>
      </c>
      <c r="J30" s="192">
        <f ca="1">NISTMap!M23</f>
        <v>0</v>
      </c>
      <c r="K30" s="188">
        <f>NISTMap!O23</f>
        <v>19</v>
      </c>
      <c r="L30" s="193">
        <f ca="1">NISTMap!P23</f>
        <v>0</v>
      </c>
      <c r="M30" s="194">
        <f>NISTMap!R23</f>
        <v>3</v>
      </c>
      <c r="N30" s="193">
        <f ca="1">NISTMap!S23</f>
        <v>0</v>
      </c>
      <c r="O30" s="195">
        <f>NISTMap!U23</f>
        <v>9</v>
      </c>
      <c r="P30" s="193">
        <f ca="1">NISTMap!V23</f>
        <v>0</v>
      </c>
      <c r="Q30" s="196">
        <f>NISTMap!X23</f>
        <v>7</v>
      </c>
      <c r="R30" s="160"/>
      <c r="S30" s="55"/>
    </row>
    <row r="31" spans="1:19" ht="30" customHeight="1" x14ac:dyDescent="0.25">
      <c r="A31" s="4"/>
      <c r="B31" s="155"/>
      <c r="C31" s="170"/>
      <c r="D31" s="793"/>
      <c r="E31" s="172"/>
      <c r="F31" s="173" t="s">
        <v>1303</v>
      </c>
      <c r="G31" s="795"/>
      <c r="H31" s="174" t="s">
        <v>1077</v>
      </c>
      <c r="I31" s="175" t="s">
        <v>1333</v>
      </c>
      <c r="J31" s="192">
        <f ca="1">NISTMap!M24</f>
        <v>0</v>
      </c>
      <c r="K31" s="188">
        <f>NISTMap!O24</f>
        <v>2</v>
      </c>
      <c r="L31" s="193">
        <f>NISTMap!P24</f>
        <v>0</v>
      </c>
      <c r="M31" s="194">
        <f>NISTMap!R24</f>
        <v>0</v>
      </c>
      <c r="N31" s="193">
        <f ca="1">NISTMap!S24</f>
        <v>0</v>
      </c>
      <c r="O31" s="195">
        <f>NISTMap!U24</f>
        <v>1</v>
      </c>
      <c r="P31" s="193">
        <f ca="1">NISTMap!V24</f>
        <v>0</v>
      </c>
      <c r="Q31" s="196">
        <f>NISTMap!X24</f>
        <v>1</v>
      </c>
      <c r="R31" s="160"/>
      <c r="S31" s="55"/>
    </row>
    <row r="32" spans="1:19" ht="30" customHeight="1" x14ac:dyDescent="0.25">
      <c r="A32" s="4"/>
      <c r="B32" s="155"/>
      <c r="C32" s="170"/>
      <c r="D32" s="793"/>
      <c r="E32" s="172"/>
      <c r="F32" s="173" t="s">
        <v>1303</v>
      </c>
      <c r="G32" s="795"/>
      <c r="H32" s="174" t="s">
        <v>1078</v>
      </c>
      <c r="I32" s="175" t="s">
        <v>1334</v>
      </c>
      <c r="J32" s="192">
        <f ca="1">NISTMap!M25</f>
        <v>0</v>
      </c>
      <c r="K32" s="188">
        <f>NISTMap!O25</f>
        <v>1</v>
      </c>
      <c r="L32" s="193">
        <f>NISTMap!P25</f>
        <v>0</v>
      </c>
      <c r="M32" s="194">
        <f>NISTMap!R25</f>
        <v>0</v>
      </c>
      <c r="N32" s="193">
        <f ca="1">NISTMap!S25</f>
        <v>0</v>
      </c>
      <c r="O32" s="195">
        <f>NISTMap!U25</f>
        <v>1</v>
      </c>
      <c r="P32" s="193">
        <f>NISTMap!V25</f>
        <v>0</v>
      </c>
      <c r="Q32" s="196">
        <f>NISTMap!X25</f>
        <v>0</v>
      </c>
      <c r="R32" s="160"/>
      <c r="S32" s="55"/>
    </row>
    <row r="33" spans="1:19" ht="45" customHeight="1" x14ac:dyDescent="0.25">
      <c r="A33" s="4"/>
      <c r="B33" s="155"/>
      <c r="C33" s="170"/>
      <c r="D33" s="793"/>
      <c r="E33" s="212" t="s">
        <v>1256</v>
      </c>
      <c r="F33" s="177" t="s">
        <v>1335</v>
      </c>
      <c r="G33" s="785" t="s">
        <v>1336</v>
      </c>
      <c r="H33" s="178" t="s">
        <v>987</v>
      </c>
      <c r="I33" s="179" t="s">
        <v>1337</v>
      </c>
      <c r="J33" s="197">
        <f ca="1">NISTMap!M26</f>
        <v>0</v>
      </c>
      <c r="K33" s="189">
        <f>NISTMap!O26</f>
        <v>4</v>
      </c>
      <c r="L33" s="198">
        <f ca="1">NISTMap!P26</f>
        <v>0</v>
      </c>
      <c r="M33" s="199">
        <f>NISTMap!R26</f>
        <v>2</v>
      </c>
      <c r="N33" s="198">
        <f ca="1">NISTMap!S26</f>
        <v>0</v>
      </c>
      <c r="O33" s="200">
        <f>NISTMap!U26</f>
        <v>1</v>
      </c>
      <c r="P33" s="198">
        <f ca="1">NISTMap!V26</f>
        <v>0</v>
      </c>
      <c r="Q33" s="201">
        <f>NISTMap!X26</f>
        <v>1</v>
      </c>
      <c r="R33" s="160"/>
      <c r="S33" s="55"/>
    </row>
    <row r="34" spans="1:19" ht="45" customHeight="1" x14ac:dyDescent="0.25">
      <c r="A34" s="4"/>
      <c r="B34" s="155"/>
      <c r="C34" s="170"/>
      <c r="D34" s="793"/>
      <c r="E34" s="213"/>
      <c r="F34" s="181" t="s">
        <v>1303</v>
      </c>
      <c r="G34" s="784"/>
      <c r="H34" s="182" t="s">
        <v>1083</v>
      </c>
      <c r="I34" s="183" t="s">
        <v>1338</v>
      </c>
      <c r="J34" s="192">
        <f ca="1">NISTMap!M27</f>
        <v>0</v>
      </c>
      <c r="K34" s="188">
        <f>NISTMap!O27</f>
        <v>8</v>
      </c>
      <c r="L34" s="193">
        <f ca="1">NISTMap!P27</f>
        <v>0</v>
      </c>
      <c r="M34" s="194">
        <f>NISTMap!R27</f>
        <v>2</v>
      </c>
      <c r="N34" s="193">
        <f ca="1">NISTMap!S27</f>
        <v>0</v>
      </c>
      <c r="O34" s="195">
        <f>NISTMap!U27</f>
        <v>4</v>
      </c>
      <c r="P34" s="193">
        <f ca="1">NISTMap!V27</f>
        <v>0</v>
      </c>
      <c r="Q34" s="196">
        <f>NISTMap!X27</f>
        <v>2</v>
      </c>
      <c r="R34" s="160"/>
      <c r="S34" s="55"/>
    </row>
    <row r="35" spans="1:19" ht="60" customHeight="1" x14ac:dyDescent="0.25">
      <c r="A35" s="4"/>
      <c r="B35" s="155"/>
      <c r="C35" s="170"/>
      <c r="D35" s="793"/>
      <c r="E35" s="213"/>
      <c r="F35" s="181" t="s">
        <v>1303</v>
      </c>
      <c r="G35" s="784"/>
      <c r="H35" s="182" t="s">
        <v>988</v>
      </c>
      <c r="I35" s="183" t="s">
        <v>1339</v>
      </c>
      <c r="J35" s="192">
        <f ca="1">NISTMap!M28</f>
        <v>0</v>
      </c>
      <c r="K35" s="188">
        <f>NISTMap!O28</f>
        <v>9</v>
      </c>
      <c r="L35" s="193">
        <f ca="1">NISTMap!P28</f>
        <v>0</v>
      </c>
      <c r="M35" s="194">
        <f>NISTMap!R28</f>
        <v>1</v>
      </c>
      <c r="N35" s="193">
        <f ca="1">NISTMap!S28</f>
        <v>0</v>
      </c>
      <c r="O35" s="195">
        <f>NISTMap!U28</f>
        <v>5</v>
      </c>
      <c r="P35" s="193">
        <f ca="1">NISTMap!V28</f>
        <v>0</v>
      </c>
      <c r="Q35" s="196">
        <f>NISTMap!X28</f>
        <v>3</v>
      </c>
      <c r="R35" s="160"/>
      <c r="S35" s="55"/>
    </row>
    <row r="36" spans="1:19" ht="45" customHeight="1" x14ac:dyDescent="0.25">
      <c r="A36" s="4"/>
      <c r="B36" s="155"/>
      <c r="C36" s="170"/>
      <c r="D36" s="793"/>
      <c r="E36" s="213"/>
      <c r="F36" s="181" t="s">
        <v>1303</v>
      </c>
      <c r="G36" s="784"/>
      <c r="H36" s="182" t="s">
        <v>1003</v>
      </c>
      <c r="I36" s="183" t="s">
        <v>1340</v>
      </c>
      <c r="J36" s="192">
        <f ca="1">NISTMap!M29</f>
        <v>0</v>
      </c>
      <c r="K36" s="188">
        <f>NISTMap!O29</f>
        <v>3</v>
      </c>
      <c r="L36" s="193">
        <f>NISTMap!P29</f>
        <v>0</v>
      </c>
      <c r="M36" s="194">
        <f>NISTMap!R29</f>
        <v>0</v>
      </c>
      <c r="N36" s="193">
        <f ca="1">NISTMap!S29</f>
        <v>0</v>
      </c>
      <c r="O36" s="195">
        <f>NISTMap!U29</f>
        <v>1</v>
      </c>
      <c r="P36" s="193">
        <f ca="1">NISTMap!V29</f>
        <v>0</v>
      </c>
      <c r="Q36" s="196">
        <f>NISTMap!X29</f>
        <v>2</v>
      </c>
      <c r="R36" s="160"/>
      <c r="S36" s="55"/>
    </row>
    <row r="37" spans="1:19" ht="30" customHeight="1" x14ac:dyDescent="0.25">
      <c r="A37" s="4"/>
      <c r="B37" s="155"/>
      <c r="C37" s="170"/>
      <c r="D37" s="794"/>
      <c r="E37" s="214"/>
      <c r="F37" s="185" t="s">
        <v>1303</v>
      </c>
      <c r="G37" s="786"/>
      <c r="H37" s="186" t="s">
        <v>1091</v>
      </c>
      <c r="I37" s="187" t="s">
        <v>1341</v>
      </c>
      <c r="J37" s="202">
        <f ca="1">NISTMap!M30</f>
        <v>0</v>
      </c>
      <c r="K37" s="190">
        <f>NISTMap!O30</f>
        <v>4</v>
      </c>
      <c r="L37" s="203">
        <f>NISTMap!P30</f>
        <v>0</v>
      </c>
      <c r="M37" s="204">
        <f>NISTMap!R30</f>
        <v>0</v>
      </c>
      <c r="N37" s="203">
        <f ca="1">NISTMap!S30</f>
        <v>0</v>
      </c>
      <c r="O37" s="205">
        <f>NISTMap!U30</f>
        <v>2</v>
      </c>
      <c r="P37" s="203">
        <f ca="1">NISTMap!V30</f>
        <v>0</v>
      </c>
      <c r="Q37" s="206">
        <f>NISTMap!X30</f>
        <v>2</v>
      </c>
      <c r="R37" s="160"/>
      <c r="S37" s="55"/>
    </row>
    <row r="38" spans="1:19" ht="30" customHeight="1" x14ac:dyDescent="0.25">
      <c r="A38" s="4"/>
      <c r="B38" s="155"/>
      <c r="C38" s="170"/>
      <c r="D38" s="806" t="s">
        <v>1342</v>
      </c>
      <c r="E38" s="176" t="s">
        <v>1257</v>
      </c>
      <c r="F38" s="177" t="s">
        <v>1343</v>
      </c>
      <c r="G38" s="785" t="s">
        <v>1344</v>
      </c>
      <c r="H38" s="178" t="s">
        <v>1095</v>
      </c>
      <c r="I38" s="179" t="s">
        <v>1345</v>
      </c>
      <c r="J38" s="197">
        <f ca="1">NISTMap!M31</f>
        <v>0</v>
      </c>
      <c r="K38" s="189">
        <f>NISTMap!O31</f>
        <v>8</v>
      </c>
      <c r="L38" s="198">
        <f ca="1">NISTMap!P31</f>
        <v>0</v>
      </c>
      <c r="M38" s="199">
        <f>NISTMap!R31</f>
        <v>3</v>
      </c>
      <c r="N38" s="198">
        <f ca="1">NISTMap!S31</f>
        <v>0</v>
      </c>
      <c r="O38" s="200">
        <f>NISTMap!U31</f>
        <v>4</v>
      </c>
      <c r="P38" s="198">
        <f ca="1">NISTMap!V31</f>
        <v>0</v>
      </c>
      <c r="Q38" s="201">
        <f>NISTMap!X31</f>
        <v>1</v>
      </c>
      <c r="R38" s="160"/>
      <c r="S38" s="55"/>
    </row>
    <row r="39" spans="1:19" ht="30" customHeight="1" x14ac:dyDescent="0.25">
      <c r="A39" s="4"/>
      <c r="B39" s="155"/>
      <c r="C39" s="170"/>
      <c r="D39" s="806"/>
      <c r="E39" s="180"/>
      <c r="F39" s="181" t="s">
        <v>1303</v>
      </c>
      <c r="G39" s="784"/>
      <c r="H39" s="182" t="s">
        <v>1103</v>
      </c>
      <c r="I39" s="183" t="s">
        <v>1346</v>
      </c>
      <c r="J39" s="192">
        <f ca="1">NISTMap!M32</f>
        <v>0</v>
      </c>
      <c r="K39" s="188">
        <f>NISTMap!O32</f>
        <v>7</v>
      </c>
      <c r="L39" s="193">
        <f ca="1">NISTMap!P32</f>
        <v>0</v>
      </c>
      <c r="M39" s="194">
        <f>NISTMap!R32</f>
        <v>3</v>
      </c>
      <c r="N39" s="193">
        <f ca="1">NISTMap!S32</f>
        <v>0</v>
      </c>
      <c r="O39" s="195">
        <f>NISTMap!U32</f>
        <v>3</v>
      </c>
      <c r="P39" s="193">
        <f ca="1">NISTMap!V32</f>
        <v>0</v>
      </c>
      <c r="Q39" s="196">
        <f>NISTMap!X32</f>
        <v>1</v>
      </c>
      <c r="R39" s="160"/>
      <c r="S39" s="55"/>
    </row>
    <row r="40" spans="1:19" ht="30" customHeight="1" x14ac:dyDescent="0.25">
      <c r="A40" s="4"/>
      <c r="B40" s="155"/>
      <c r="C40" s="170"/>
      <c r="D40" s="806"/>
      <c r="E40" s="180"/>
      <c r="F40" s="181" t="s">
        <v>1303</v>
      </c>
      <c r="G40" s="784"/>
      <c r="H40" s="182" t="s">
        <v>1111</v>
      </c>
      <c r="I40" s="183" t="s">
        <v>1347</v>
      </c>
      <c r="J40" s="192">
        <f ca="1">NISTMap!M33</f>
        <v>0</v>
      </c>
      <c r="K40" s="188">
        <f>NISTMap!O33</f>
        <v>7</v>
      </c>
      <c r="L40" s="193">
        <f ca="1">NISTMap!P33</f>
        <v>0</v>
      </c>
      <c r="M40" s="194">
        <f>NISTMap!R33</f>
        <v>3</v>
      </c>
      <c r="N40" s="193">
        <f ca="1">NISTMap!S33</f>
        <v>0</v>
      </c>
      <c r="O40" s="195">
        <f>NISTMap!U33</f>
        <v>3</v>
      </c>
      <c r="P40" s="193">
        <f ca="1">NISTMap!V33</f>
        <v>0</v>
      </c>
      <c r="Q40" s="196">
        <f>NISTMap!X33</f>
        <v>1</v>
      </c>
      <c r="R40" s="160"/>
      <c r="S40" s="55"/>
    </row>
    <row r="41" spans="1:19" ht="45" customHeight="1" x14ac:dyDescent="0.25">
      <c r="A41" s="4"/>
      <c r="B41" s="155"/>
      <c r="C41" s="170"/>
      <c r="D41" s="806"/>
      <c r="E41" s="180"/>
      <c r="F41" s="181" t="s">
        <v>1303</v>
      </c>
      <c r="G41" s="784"/>
      <c r="H41" s="182" t="s">
        <v>1112</v>
      </c>
      <c r="I41" s="183" t="s">
        <v>1348</v>
      </c>
      <c r="J41" s="192">
        <f ca="1">NISTMap!M34</f>
        <v>0</v>
      </c>
      <c r="K41" s="188">
        <f>NISTMap!O34</f>
        <v>1</v>
      </c>
      <c r="L41" s="193">
        <f>NISTMap!P34</f>
        <v>0</v>
      </c>
      <c r="M41" s="194">
        <f>NISTMap!R34</f>
        <v>0</v>
      </c>
      <c r="N41" s="193">
        <f ca="1">NISTMap!S34</f>
        <v>0</v>
      </c>
      <c r="O41" s="195">
        <f>NISTMap!U34</f>
        <v>1</v>
      </c>
      <c r="P41" s="193">
        <f>NISTMap!V34</f>
        <v>0</v>
      </c>
      <c r="Q41" s="196">
        <f>NISTMap!X34</f>
        <v>0</v>
      </c>
      <c r="R41" s="160"/>
      <c r="S41" s="55"/>
    </row>
    <row r="42" spans="1:19" ht="30" customHeight="1" x14ac:dyDescent="0.25">
      <c r="A42" s="4"/>
      <c r="B42" s="155"/>
      <c r="C42" s="170"/>
      <c r="D42" s="806"/>
      <c r="E42" s="180"/>
      <c r="F42" s="181" t="s">
        <v>1303</v>
      </c>
      <c r="G42" s="784"/>
      <c r="H42" s="182" t="s">
        <v>1113</v>
      </c>
      <c r="I42" s="183" t="s">
        <v>1349</v>
      </c>
      <c r="J42" s="192">
        <f ca="1">NISTMap!M35</f>
        <v>0</v>
      </c>
      <c r="K42" s="188">
        <f>NISTMap!O35</f>
        <v>9</v>
      </c>
      <c r="L42" s="193">
        <f ca="1">NISTMap!P35</f>
        <v>0</v>
      </c>
      <c r="M42" s="194">
        <f>NISTMap!R35</f>
        <v>2</v>
      </c>
      <c r="N42" s="193">
        <f ca="1">NISTMap!S35</f>
        <v>0</v>
      </c>
      <c r="O42" s="195">
        <f>NISTMap!U35</f>
        <v>6</v>
      </c>
      <c r="P42" s="193">
        <f ca="1">NISTMap!V35</f>
        <v>0</v>
      </c>
      <c r="Q42" s="196">
        <f>NISTMap!X35</f>
        <v>1</v>
      </c>
      <c r="R42" s="160"/>
      <c r="S42" s="55"/>
    </row>
    <row r="43" spans="1:19" ht="30" customHeight="1" x14ac:dyDescent="0.25">
      <c r="A43" s="4"/>
      <c r="B43" s="155"/>
      <c r="C43" s="170"/>
      <c r="D43" s="806"/>
      <c r="E43" s="180"/>
      <c r="F43" s="181" t="s">
        <v>1303</v>
      </c>
      <c r="G43" s="784"/>
      <c r="H43" s="182" t="s">
        <v>1117</v>
      </c>
      <c r="I43" s="183" t="s">
        <v>1350</v>
      </c>
      <c r="J43" s="192">
        <f ca="1">NISTMap!M36</f>
        <v>0</v>
      </c>
      <c r="K43" s="188">
        <f>NISTMap!O36</f>
        <v>1</v>
      </c>
      <c r="L43" s="193">
        <f>NISTMap!P36</f>
        <v>0</v>
      </c>
      <c r="M43" s="194">
        <f>NISTMap!R36</f>
        <v>0</v>
      </c>
      <c r="N43" s="193">
        <f ca="1">NISTMap!S36</f>
        <v>0</v>
      </c>
      <c r="O43" s="195">
        <f>NISTMap!U36</f>
        <v>1</v>
      </c>
      <c r="P43" s="193">
        <f>NISTMap!V36</f>
        <v>0</v>
      </c>
      <c r="Q43" s="196">
        <f>NISTMap!X36</f>
        <v>0</v>
      </c>
      <c r="R43" s="160"/>
      <c r="S43" s="55"/>
    </row>
    <row r="44" spans="1:19" ht="60" customHeight="1" x14ac:dyDescent="0.25">
      <c r="A44" s="4"/>
      <c r="B44" s="155"/>
      <c r="C44" s="170"/>
      <c r="D44" s="806"/>
      <c r="E44" s="180"/>
      <c r="F44" s="181" t="s">
        <v>1303</v>
      </c>
      <c r="G44" s="784"/>
      <c r="H44" s="182" t="s">
        <v>1118</v>
      </c>
      <c r="I44" s="183" t="s">
        <v>1351</v>
      </c>
      <c r="J44" s="192">
        <f ca="1">NISTMap!M37</f>
        <v>0</v>
      </c>
      <c r="K44" s="188">
        <f>NISTMap!O37</f>
        <v>2</v>
      </c>
      <c r="L44" s="193">
        <f ca="1">NISTMap!P37</f>
        <v>0</v>
      </c>
      <c r="M44" s="194">
        <f>NISTMap!R37</f>
        <v>1</v>
      </c>
      <c r="N44" s="193">
        <f>NISTMap!S37</f>
        <v>0</v>
      </c>
      <c r="O44" s="195">
        <f>NISTMap!U37</f>
        <v>0</v>
      </c>
      <c r="P44" s="193">
        <f ca="1">NISTMap!V37</f>
        <v>0</v>
      </c>
      <c r="Q44" s="196">
        <f>NISTMap!X37</f>
        <v>1</v>
      </c>
      <c r="R44" s="160"/>
      <c r="S44" s="55"/>
    </row>
    <row r="45" spans="1:19" ht="30" customHeight="1" x14ac:dyDescent="0.25">
      <c r="A45" s="4"/>
      <c r="B45" s="155"/>
      <c r="C45" s="170"/>
      <c r="D45" s="806"/>
      <c r="E45" s="212" t="s">
        <v>1258</v>
      </c>
      <c r="F45" s="177" t="s">
        <v>1352</v>
      </c>
      <c r="G45" s="785" t="s">
        <v>1353</v>
      </c>
      <c r="H45" s="178" t="s">
        <v>989</v>
      </c>
      <c r="I45" s="179" t="s">
        <v>1354</v>
      </c>
      <c r="J45" s="197">
        <f ca="1">NISTMap!M38</f>
        <v>0</v>
      </c>
      <c r="K45" s="189">
        <f>NISTMap!O38</f>
        <v>7</v>
      </c>
      <c r="L45" s="198">
        <f ca="1">NISTMap!P38</f>
        <v>0</v>
      </c>
      <c r="M45" s="199">
        <f>NISTMap!R38</f>
        <v>3</v>
      </c>
      <c r="N45" s="198">
        <f ca="1">NISTMap!S38</f>
        <v>0</v>
      </c>
      <c r="O45" s="200">
        <f>NISTMap!U38</f>
        <v>2</v>
      </c>
      <c r="P45" s="198">
        <f ca="1">NISTMap!V38</f>
        <v>0</v>
      </c>
      <c r="Q45" s="201">
        <f>NISTMap!X38</f>
        <v>2</v>
      </c>
      <c r="R45" s="160"/>
      <c r="S45" s="55"/>
    </row>
    <row r="46" spans="1:19" ht="30" customHeight="1" x14ac:dyDescent="0.25">
      <c r="A46" s="4"/>
      <c r="B46" s="155"/>
      <c r="C46" s="170"/>
      <c r="D46" s="806"/>
      <c r="E46" s="213"/>
      <c r="F46" s="181" t="s">
        <v>1303</v>
      </c>
      <c r="G46" s="784"/>
      <c r="H46" s="182" t="s">
        <v>990</v>
      </c>
      <c r="I46" s="183" t="s">
        <v>1355</v>
      </c>
      <c r="J46" s="192">
        <f ca="1">NISTMap!M39</f>
        <v>0</v>
      </c>
      <c r="K46" s="188">
        <f>NISTMap!O39</f>
        <v>6</v>
      </c>
      <c r="L46" s="193">
        <f ca="1">NISTMap!P39</f>
        <v>0</v>
      </c>
      <c r="M46" s="194">
        <f>NISTMap!R39</f>
        <v>2</v>
      </c>
      <c r="N46" s="193">
        <f ca="1">NISTMap!S39</f>
        <v>0</v>
      </c>
      <c r="O46" s="195">
        <f>NISTMap!U39</f>
        <v>2</v>
      </c>
      <c r="P46" s="193">
        <f ca="1">NISTMap!V39</f>
        <v>0</v>
      </c>
      <c r="Q46" s="196">
        <f>NISTMap!X39</f>
        <v>2</v>
      </c>
      <c r="R46" s="160"/>
      <c r="S46" s="55"/>
    </row>
    <row r="47" spans="1:19" ht="30" customHeight="1" x14ac:dyDescent="0.25">
      <c r="A47" s="4"/>
      <c r="B47" s="155"/>
      <c r="C47" s="170"/>
      <c r="D47" s="806"/>
      <c r="E47" s="213"/>
      <c r="F47" s="181" t="s">
        <v>1303</v>
      </c>
      <c r="G47" s="784"/>
      <c r="H47" s="182" t="s">
        <v>991</v>
      </c>
      <c r="I47" s="183" t="s">
        <v>1356</v>
      </c>
      <c r="J47" s="192">
        <f ca="1">NISTMap!M40</f>
        <v>0</v>
      </c>
      <c r="K47" s="188">
        <f>NISTMap!O40</f>
        <v>6</v>
      </c>
      <c r="L47" s="193">
        <f ca="1">NISTMap!P40</f>
        <v>0</v>
      </c>
      <c r="M47" s="194">
        <f>NISTMap!R40</f>
        <v>2</v>
      </c>
      <c r="N47" s="193">
        <f ca="1">NISTMap!S40</f>
        <v>0</v>
      </c>
      <c r="O47" s="195">
        <f>NISTMap!U40</f>
        <v>2</v>
      </c>
      <c r="P47" s="193">
        <f ca="1">NISTMap!V40</f>
        <v>0</v>
      </c>
      <c r="Q47" s="196">
        <f>NISTMap!X40</f>
        <v>2</v>
      </c>
      <c r="R47" s="160"/>
      <c r="S47" s="55"/>
    </row>
    <row r="48" spans="1:19" ht="30" customHeight="1" x14ac:dyDescent="0.25">
      <c r="A48" s="4"/>
      <c r="B48" s="155"/>
      <c r="C48" s="170"/>
      <c r="D48" s="806"/>
      <c r="E48" s="213"/>
      <c r="F48" s="181" t="s">
        <v>1303</v>
      </c>
      <c r="G48" s="784"/>
      <c r="H48" s="182" t="s">
        <v>992</v>
      </c>
      <c r="I48" s="183" t="s">
        <v>1357</v>
      </c>
      <c r="J48" s="192">
        <f ca="1">NISTMap!M41</f>
        <v>0</v>
      </c>
      <c r="K48" s="188">
        <f>NISTMap!O41</f>
        <v>6</v>
      </c>
      <c r="L48" s="193">
        <f ca="1">NISTMap!P41</f>
        <v>0</v>
      </c>
      <c r="M48" s="194">
        <f>NISTMap!R41</f>
        <v>2</v>
      </c>
      <c r="N48" s="193">
        <f ca="1">NISTMap!S41</f>
        <v>0</v>
      </c>
      <c r="O48" s="195">
        <f>NISTMap!U41</f>
        <v>2</v>
      </c>
      <c r="P48" s="193">
        <f ca="1">NISTMap!V41</f>
        <v>0</v>
      </c>
      <c r="Q48" s="196">
        <f>NISTMap!X41</f>
        <v>2</v>
      </c>
      <c r="R48" s="160"/>
      <c r="S48" s="55"/>
    </row>
    <row r="49" spans="1:19" ht="30" customHeight="1" x14ac:dyDescent="0.25">
      <c r="A49" s="4"/>
      <c r="B49" s="155"/>
      <c r="C49" s="170"/>
      <c r="D49" s="806"/>
      <c r="E49" s="214"/>
      <c r="F49" s="185" t="s">
        <v>1303</v>
      </c>
      <c r="G49" s="786"/>
      <c r="H49" s="186" t="s">
        <v>993</v>
      </c>
      <c r="I49" s="187" t="s">
        <v>1358</v>
      </c>
      <c r="J49" s="202">
        <f ca="1">NISTMap!M42</f>
        <v>0</v>
      </c>
      <c r="K49" s="190">
        <f>NISTMap!O42</f>
        <v>6</v>
      </c>
      <c r="L49" s="203">
        <f ca="1">NISTMap!P42</f>
        <v>0</v>
      </c>
      <c r="M49" s="204">
        <f>NISTMap!R42</f>
        <v>2</v>
      </c>
      <c r="N49" s="203">
        <f ca="1">NISTMap!S42</f>
        <v>0</v>
      </c>
      <c r="O49" s="205">
        <f>NISTMap!U42</f>
        <v>2</v>
      </c>
      <c r="P49" s="203">
        <f ca="1">NISTMap!V42</f>
        <v>0</v>
      </c>
      <c r="Q49" s="206">
        <f>NISTMap!X42</f>
        <v>2</v>
      </c>
      <c r="R49" s="160"/>
      <c r="S49" s="55"/>
    </row>
    <row r="50" spans="1:19" ht="30" customHeight="1" x14ac:dyDescent="0.25">
      <c r="A50" s="4"/>
      <c r="B50" s="155"/>
      <c r="C50" s="170"/>
      <c r="D50" s="806"/>
      <c r="E50" s="180" t="s">
        <v>1259</v>
      </c>
      <c r="F50" s="181" t="s">
        <v>1359</v>
      </c>
      <c r="G50" s="784" t="s">
        <v>1360</v>
      </c>
      <c r="H50" s="182" t="s">
        <v>1127</v>
      </c>
      <c r="I50" s="183" t="s">
        <v>1361</v>
      </c>
      <c r="J50" s="192">
        <f ca="1">NISTMap!M43</f>
        <v>0</v>
      </c>
      <c r="K50" s="188">
        <f>NISTMap!O43</f>
        <v>6</v>
      </c>
      <c r="L50" s="193">
        <f ca="1">NISTMap!P43</f>
        <v>0</v>
      </c>
      <c r="M50" s="194">
        <f>NISTMap!R43</f>
        <v>3</v>
      </c>
      <c r="N50" s="193">
        <f ca="1">NISTMap!S43</f>
        <v>0</v>
      </c>
      <c r="O50" s="195">
        <f>NISTMap!U43</f>
        <v>2</v>
      </c>
      <c r="P50" s="193">
        <f ca="1">NISTMap!V43</f>
        <v>0</v>
      </c>
      <c r="Q50" s="196">
        <f>NISTMap!X43</f>
        <v>1</v>
      </c>
      <c r="R50" s="160"/>
      <c r="S50" s="55"/>
    </row>
    <row r="51" spans="1:19" ht="30" customHeight="1" x14ac:dyDescent="0.25">
      <c r="A51" s="4"/>
      <c r="B51" s="155"/>
      <c r="C51" s="170"/>
      <c r="D51" s="806"/>
      <c r="E51" s="180"/>
      <c r="F51" s="181" t="s">
        <v>1303</v>
      </c>
      <c r="G51" s="784"/>
      <c r="H51" s="182" t="s">
        <v>1130</v>
      </c>
      <c r="I51" s="183" t="s">
        <v>1362</v>
      </c>
      <c r="J51" s="192">
        <f ca="1">NISTMap!M44</f>
        <v>0</v>
      </c>
      <c r="K51" s="188">
        <f>NISTMap!O44</f>
        <v>6</v>
      </c>
      <c r="L51" s="193">
        <f ca="1">NISTMap!P44</f>
        <v>0</v>
      </c>
      <c r="M51" s="194">
        <f>NISTMap!R44</f>
        <v>3</v>
      </c>
      <c r="N51" s="193">
        <f ca="1">NISTMap!S44</f>
        <v>0</v>
      </c>
      <c r="O51" s="195">
        <f>NISTMap!U44</f>
        <v>2</v>
      </c>
      <c r="P51" s="193">
        <f ca="1">NISTMap!V44</f>
        <v>0</v>
      </c>
      <c r="Q51" s="196">
        <f>NISTMap!X44</f>
        <v>1</v>
      </c>
      <c r="R51" s="160"/>
      <c r="S51" s="55"/>
    </row>
    <row r="52" spans="1:19" ht="30" customHeight="1" x14ac:dyDescent="0.25">
      <c r="A52" s="4"/>
      <c r="B52" s="155"/>
      <c r="C52" s="170"/>
      <c r="D52" s="806"/>
      <c r="E52" s="180"/>
      <c r="F52" s="181" t="s">
        <v>1303</v>
      </c>
      <c r="G52" s="784"/>
      <c r="H52" s="182" t="s">
        <v>994</v>
      </c>
      <c r="I52" s="183" t="s">
        <v>1363</v>
      </c>
      <c r="J52" s="192">
        <f ca="1">NISTMap!M45</f>
        <v>0</v>
      </c>
      <c r="K52" s="188">
        <f>NISTMap!O45</f>
        <v>8</v>
      </c>
      <c r="L52" s="193">
        <f ca="1">NISTMap!P45</f>
        <v>0</v>
      </c>
      <c r="M52" s="194">
        <f>NISTMap!R45</f>
        <v>2</v>
      </c>
      <c r="N52" s="193">
        <f ca="1">NISTMap!S45</f>
        <v>0</v>
      </c>
      <c r="O52" s="195">
        <f>NISTMap!U45</f>
        <v>4</v>
      </c>
      <c r="P52" s="193">
        <f ca="1">NISTMap!V45</f>
        <v>0</v>
      </c>
      <c r="Q52" s="196">
        <f>NISTMap!X45</f>
        <v>2</v>
      </c>
      <c r="R52" s="160"/>
      <c r="S52" s="55"/>
    </row>
    <row r="53" spans="1:19" ht="30" customHeight="1" x14ac:dyDescent="0.25">
      <c r="A53" s="4"/>
      <c r="B53" s="155"/>
      <c r="C53" s="170"/>
      <c r="D53" s="806"/>
      <c r="E53" s="180"/>
      <c r="F53" s="181" t="s">
        <v>1303</v>
      </c>
      <c r="G53" s="784"/>
      <c r="H53" s="182" t="s">
        <v>1139</v>
      </c>
      <c r="I53" s="183" t="s">
        <v>1364</v>
      </c>
      <c r="J53" s="192">
        <f ca="1">NISTMap!M46</f>
        <v>0</v>
      </c>
      <c r="K53" s="188">
        <f>NISTMap!O46</f>
        <v>5</v>
      </c>
      <c r="L53" s="193">
        <f ca="1">NISTMap!P46</f>
        <v>0</v>
      </c>
      <c r="M53" s="194">
        <f>NISTMap!R46</f>
        <v>2</v>
      </c>
      <c r="N53" s="193">
        <f ca="1">NISTMap!S46</f>
        <v>0</v>
      </c>
      <c r="O53" s="195">
        <f>NISTMap!U46</f>
        <v>2</v>
      </c>
      <c r="P53" s="193">
        <f ca="1">NISTMap!V46</f>
        <v>0</v>
      </c>
      <c r="Q53" s="196">
        <f>NISTMap!X46</f>
        <v>1</v>
      </c>
      <c r="R53" s="160"/>
      <c r="S53" s="55"/>
    </row>
    <row r="54" spans="1:19" ht="30" customHeight="1" x14ac:dyDescent="0.25">
      <c r="A54" s="4"/>
      <c r="B54" s="155"/>
      <c r="C54" s="170"/>
      <c r="D54" s="806"/>
      <c r="E54" s="180"/>
      <c r="F54" s="181" t="s">
        <v>1303</v>
      </c>
      <c r="G54" s="784"/>
      <c r="H54" s="182" t="s">
        <v>1140</v>
      </c>
      <c r="I54" s="183" t="s">
        <v>1365</v>
      </c>
      <c r="J54" s="192">
        <f ca="1">NISTMap!M47</f>
        <v>0</v>
      </c>
      <c r="K54" s="188">
        <f>NISTMap!O47</f>
        <v>10</v>
      </c>
      <c r="L54" s="193">
        <f ca="1">NISTMap!P47</f>
        <v>0</v>
      </c>
      <c r="M54" s="194">
        <f>NISTMap!R47</f>
        <v>4</v>
      </c>
      <c r="N54" s="193">
        <f ca="1">NISTMap!S47</f>
        <v>0</v>
      </c>
      <c r="O54" s="195">
        <f>NISTMap!U47</f>
        <v>3</v>
      </c>
      <c r="P54" s="193">
        <f ca="1">NISTMap!V47</f>
        <v>0</v>
      </c>
      <c r="Q54" s="196">
        <f>NISTMap!X47</f>
        <v>3</v>
      </c>
      <c r="R54" s="160"/>
      <c r="S54" s="55"/>
    </row>
    <row r="55" spans="1:19" ht="30" customHeight="1" x14ac:dyDescent="0.25">
      <c r="A55" s="4"/>
      <c r="B55" s="155"/>
      <c r="C55" s="170"/>
      <c r="D55" s="806"/>
      <c r="E55" s="180"/>
      <c r="F55" s="181" t="s">
        <v>1303</v>
      </c>
      <c r="G55" s="784"/>
      <c r="H55" s="182" t="s">
        <v>1142</v>
      </c>
      <c r="I55" s="183" t="s">
        <v>1366</v>
      </c>
      <c r="J55" s="192">
        <f ca="1">NISTMap!M48</f>
        <v>0</v>
      </c>
      <c r="K55" s="188">
        <f>NISTMap!O48</f>
        <v>4</v>
      </c>
      <c r="L55" s="193">
        <f>NISTMap!P48</f>
        <v>0</v>
      </c>
      <c r="M55" s="194">
        <f>NISTMap!R48</f>
        <v>0</v>
      </c>
      <c r="N55" s="193">
        <f ca="1">NISTMap!S48</f>
        <v>0</v>
      </c>
      <c r="O55" s="195">
        <f>NISTMap!U48</f>
        <v>1</v>
      </c>
      <c r="P55" s="193">
        <f ca="1">NISTMap!V48</f>
        <v>0</v>
      </c>
      <c r="Q55" s="196">
        <f>NISTMap!X48</f>
        <v>3</v>
      </c>
      <c r="R55" s="160"/>
      <c r="S55" s="55"/>
    </row>
    <row r="56" spans="1:19" ht="30" customHeight="1" x14ac:dyDescent="0.25">
      <c r="A56" s="4"/>
      <c r="B56" s="155"/>
      <c r="C56" s="170"/>
      <c r="D56" s="806"/>
      <c r="E56" s="180"/>
      <c r="F56" s="181" t="s">
        <v>1303</v>
      </c>
      <c r="G56" s="784"/>
      <c r="H56" s="182" t="s">
        <v>1145</v>
      </c>
      <c r="I56" s="183" t="s">
        <v>1367</v>
      </c>
      <c r="J56" s="192">
        <f ca="1">NISTMap!M49</f>
        <v>0</v>
      </c>
      <c r="K56" s="188">
        <f>NISTMap!O49</f>
        <v>2</v>
      </c>
      <c r="L56" s="193">
        <f>NISTMap!P49</f>
        <v>0</v>
      </c>
      <c r="M56" s="194">
        <f>NISTMap!R49</f>
        <v>0</v>
      </c>
      <c r="N56" s="193">
        <f ca="1">NISTMap!S49</f>
        <v>0</v>
      </c>
      <c r="O56" s="195">
        <f>NISTMap!U49</f>
        <v>1</v>
      </c>
      <c r="P56" s="193">
        <f ca="1">NISTMap!V49</f>
        <v>0</v>
      </c>
      <c r="Q56" s="196">
        <f>NISTMap!X49</f>
        <v>1</v>
      </c>
      <c r="R56" s="160"/>
      <c r="S56" s="55"/>
    </row>
    <row r="57" spans="1:19" ht="30" customHeight="1" x14ac:dyDescent="0.25">
      <c r="A57" s="4"/>
      <c r="B57" s="155"/>
      <c r="C57" s="170"/>
      <c r="D57" s="806"/>
      <c r="E57" s="180"/>
      <c r="F57" s="181" t="s">
        <v>1303</v>
      </c>
      <c r="G57" s="784"/>
      <c r="H57" s="182" t="s">
        <v>1260</v>
      </c>
      <c r="I57" s="183" t="s">
        <v>1368</v>
      </c>
      <c r="J57" s="192">
        <f>NISTMap!M50</f>
        <v>0</v>
      </c>
      <c r="K57" s="188">
        <f>NISTMap!O50</f>
        <v>0</v>
      </c>
      <c r="L57" s="193">
        <f>NISTMap!P50</f>
        <v>0</v>
      </c>
      <c r="M57" s="194">
        <f>NISTMap!R50</f>
        <v>0</v>
      </c>
      <c r="N57" s="193">
        <f>NISTMap!S50</f>
        <v>0</v>
      </c>
      <c r="O57" s="195">
        <f>NISTMap!U50</f>
        <v>0</v>
      </c>
      <c r="P57" s="193">
        <f>NISTMap!V50</f>
        <v>0</v>
      </c>
      <c r="Q57" s="196">
        <f>NISTMap!X50</f>
        <v>0</v>
      </c>
      <c r="R57" s="160"/>
      <c r="S57" s="55"/>
    </row>
    <row r="58" spans="1:19" ht="45" customHeight="1" x14ac:dyDescent="0.25">
      <c r="A58" s="4"/>
      <c r="B58" s="155"/>
      <c r="C58" s="170"/>
      <c r="D58" s="806"/>
      <c r="E58" s="212" t="s">
        <v>1261</v>
      </c>
      <c r="F58" s="177" t="s">
        <v>1369</v>
      </c>
      <c r="G58" s="785" t="s">
        <v>1370</v>
      </c>
      <c r="H58" s="178" t="s">
        <v>1152</v>
      </c>
      <c r="I58" s="179" t="s">
        <v>1371</v>
      </c>
      <c r="J58" s="197">
        <f ca="1">NISTMap!M51</f>
        <v>0</v>
      </c>
      <c r="K58" s="189">
        <f>NISTMap!O51</f>
        <v>6</v>
      </c>
      <c r="L58" s="198">
        <f ca="1">NISTMap!P51</f>
        <v>0</v>
      </c>
      <c r="M58" s="199">
        <f>NISTMap!R51</f>
        <v>2</v>
      </c>
      <c r="N58" s="198">
        <f ca="1">NISTMap!S51</f>
        <v>0</v>
      </c>
      <c r="O58" s="200">
        <f>NISTMap!U51</f>
        <v>1</v>
      </c>
      <c r="P58" s="198">
        <f ca="1">NISTMap!V51</f>
        <v>0</v>
      </c>
      <c r="Q58" s="201">
        <f>NISTMap!X51</f>
        <v>3</v>
      </c>
      <c r="R58" s="160"/>
      <c r="S58" s="55"/>
    </row>
    <row r="59" spans="1:19" ht="30" customHeight="1" x14ac:dyDescent="0.25">
      <c r="A59" s="4"/>
      <c r="B59" s="155"/>
      <c r="C59" s="170"/>
      <c r="D59" s="806"/>
      <c r="E59" s="213"/>
      <c r="F59" s="181" t="s">
        <v>1303</v>
      </c>
      <c r="G59" s="784"/>
      <c r="H59" s="182" t="s">
        <v>1155</v>
      </c>
      <c r="I59" s="183" t="s">
        <v>1372</v>
      </c>
      <c r="J59" s="192">
        <f ca="1">NISTMap!M52</f>
        <v>0</v>
      </c>
      <c r="K59" s="188">
        <f>NISTMap!O52</f>
        <v>1</v>
      </c>
      <c r="L59" s="193">
        <f>NISTMap!P52</f>
        <v>0</v>
      </c>
      <c r="M59" s="194">
        <f>NISTMap!R52</f>
        <v>0</v>
      </c>
      <c r="N59" s="193">
        <f ca="1">NISTMap!S52</f>
        <v>0</v>
      </c>
      <c r="O59" s="195">
        <f>NISTMap!U52</f>
        <v>1</v>
      </c>
      <c r="P59" s="193">
        <f>NISTMap!V52</f>
        <v>0</v>
      </c>
      <c r="Q59" s="196">
        <f>NISTMap!X52</f>
        <v>0</v>
      </c>
      <c r="R59" s="160"/>
      <c r="S59" s="55"/>
    </row>
    <row r="60" spans="1:19" ht="30" customHeight="1" x14ac:dyDescent="0.25">
      <c r="A60" s="4"/>
      <c r="B60" s="155"/>
      <c r="C60" s="170"/>
      <c r="D60" s="806"/>
      <c r="E60" s="213"/>
      <c r="F60" s="181" t="s">
        <v>1303</v>
      </c>
      <c r="G60" s="784"/>
      <c r="H60" s="182" t="s">
        <v>1156</v>
      </c>
      <c r="I60" s="183" t="s">
        <v>1373</v>
      </c>
      <c r="J60" s="192">
        <f ca="1">NISTMap!M53</f>
        <v>0</v>
      </c>
      <c r="K60" s="188">
        <f>NISTMap!O53</f>
        <v>9</v>
      </c>
      <c r="L60" s="193">
        <f ca="1">NISTMap!P53</f>
        <v>0</v>
      </c>
      <c r="M60" s="194">
        <f>NISTMap!R53</f>
        <v>2</v>
      </c>
      <c r="N60" s="193">
        <f ca="1">NISTMap!S53</f>
        <v>0</v>
      </c>
      <c r="O60" s="195">
        <f>NISTMap!U53</f>
        <v>3</v>
      </c>
      <c r="P60" s="193">
        <f ca="1">NISTMap!V53</f>
        <v>0</v>
      </c>
      <c r="Q60" s="196">
        <f>NISTMap!X53</f>
        <v>4</v>
      </c>
      <c r="R60" s="160"/>
      <c r="S60" s="55"/>
    </row>
    <row r="61" spans="1:19" ht="30" customHeight="1" x14ac:dyDescent="0.25">
      <c r="A61" s="4"/>
      <c r="B61" s="155"/>
      <c r="C61" s="170"/>
      <c r="D61" s="806"/>
      <c r="E61" s="213"/>
      <c r="F61" s="181" t="s">
        <v>1303</v>
      </c>
      <c r="G61" s="784"/>
      <c r="H61" s="182" t="s">
        <v>1157</v>
      </c>
      <c r="I61" s="183" t="s">
        <v>1374</v>
      </c>
      <c r="J61" s="192">
        <f ca="1">NISTMap!M54</f>
        <v>0</v>
      </c>
      <c r="K61" s="188">
        <f>NISTMap!O54</f>
        <v>8</v>
      </c>
      <c r="L61" s="193">
        <f ca="1">NISTMap!P54</f>
        <v>0</v>
      </c>
      <c r="M61" s="194">
        <f>NISTMap!R54</f>
        <v>1</v>
      </c>
      <c r="N61" s="193">
        <f ca="1">NISTMap!S54</f>
        <v>0</v>
      </c>
      <c r="O61" s="195">
        <f>NISTMap!U54</f>
        <v>5</v>
      </c>
      <c r="P61" s="193">
        <f ca="1">NISTMap!V54</f>
        <v>0</v>
      </c>
      <c r="Q61" s="196">
        <f>NISTMap!X54</f>
        <v>2</v>
      </c>
      <c r="R61" s="160"/>
      <c r="S61" s="55"/>
    </row>
    <row r="62" spans="1:19" ht="30" customHeight="1" x14ac:dyDescent="0.25">
      <c r="A62" s="4"/>
      <c r="B62" s="155"/>
      <c r="C62" s="170"/>
      <c r="D62" s="806"/>
      <c r="E62" s="213"/>
      <c r="F62" s="181" t="s">
        <v>1303</v>
      </c>
      <c r="G62" s="784"/>
      <c r="H62" s="182" t="s">
        <v>995</v>
      </c>
      <c r="I62" s="183" t="s">
        <v>1375</v>
      </c>
      <c r="J62" s="192">
        <f ca="1">NISTMap!M55</f>
        <v>0</v>
      </c>
      <c r="K62" s="188">
        <f>NISTMap!O55</f>
        <v>1</v>
      </c>
      <c r="L62" s="193">
        <f>NISTMap!P55</f>
        <v>0</v>
      </c>
      <c r="M62" s="194">
        <f>NISTMap!R55</f>
        <v>0</v>
      </c>
      <c r="N62" s="193">
        <f>NISTMap!S55</f>
        <v>0</v>
      </c>
      <c r="O62" s="195">
        <f>NISTMap!U55</f>
        <v>0</v>
      </c>
      <c r="P62" s="193">
        <f ca="1">NISTMap!V55</f>
        <v>0</v>
      </c>
      <c r="Q62" s="196">
        <f>NISTMap!X55</f>
        <v>1</v>
      </c>
      <c r="R62" s="160"/>
      <c r="S62" s="55"/>
    </row>
    <row r="63" spans="1:19" ht="30" customHeight="1" x14ac:dyDescent="0.25">
      <c r="A63" s="4"/>
      <c r="B63" s="155"/>
      <c r="C63" s="170"/>
      <c r="D63" s="806"/>
      <c r="E63" s="213"/>
      <c r="F63" s="181" t="s">
        <v>1303</v>
      </c>
      <c r="G63" s="784"/>
      <c r="H63" s="182" t="s">
        <v>1158</v>
      </c>
      <c r="I63" s="183" t="s">
        <v>1376</v>
      </c>
      <c r="J63" s="192">
        <f ca="1">NISTMap!M56</f>
        <v>0</v>
      </c>
      <c r="K63" s="188">
        <f>NISTMap!O56</f>
        <v>1</v>
      </c>
      <c r="L63" s="193">
        <f>NISTMap!P56</f>
        <v>0</v>
      </c>
      <c r="M63" s="194">
        <f>NISTMap!R56</f>
        <v>0</v>
      </c>
      <c r="N63" s="193">
        <f ca="1">NISTMap!S56</f>
        <v>0</v>
      </c>
      <c r="O63" s="195">
        <f>NISTMap!U56</f>
        <v>1</v>
      </c>
      <c r="P63" s="193">
        <f>NISTMap!V56</f>
        <v>0</v>
      </c>
      <c r="Q63" s="196">
        <f>NISTMap!X56</f>
        <v>0</v>
      </c>
      <c r="R63" s="160"/>
      <c r="S63" s="55"/>
    </row>
    <row r="64" spans="1:19" ht="30" customHeight="1" x14ac:dyDescent="0.25">
      <c r="A64" s="4"/>
      <c r="B64" s="155"/>
      <c r="C64" s="170"/>
      <c r="D64" s="806"/>
      <c r="E64" s="213"/>
      <c r="F64" s="181" t="s">
        <v>1303</v>
      </c>
      <c r="G64" s="784"/>
      <c r="H64" s="182" t="s">
        <v>1159</v>
      </c>
      <c r="I64" s="183" t="s">
        <v>1377</v>
      </c>
      <c r="J64" s="192">
        <f ca="1">NISTMap!M57</f>
        <v>0</v>
      </c>
      <c r="K64" s="188">
        <f>NISTMap!O57</f>
        <v>2</v>
      </c>
      <c r="L64" s="193">
        <f>NISTMap!P57</f>
        <v>0</v>
      </c>
      <c r="M64" s="194">
        <f>NISTMap!R57</f>
        <v>0</v>
      </c>
      <c r="N64" s="193">
        <f>NISTMap!S57</f>
        <v>0</v>
      </c>
      <c r="O64" s="195">
        <f>NISTMap!U57</f>
        <v>0</v>
      </c>
      <c r="P64" s="193">
        <f ca="1">NISTMap!V57</f>
        <v>0</v>
      </c>
      <c r="Q64" s="196">
        <f>NISTMap!X57</f>
        <v>2</v>
      </c>
      <c r="R64" s="160"/>
      <c r="S64" s="55"/>
    </row>
    <row r="65" spans="1:19" ht="30" customHeight="1" x14ac:dyDescent="0.25">
      <c r="A65" s="4"/>
      <c r="B65" s="155"/>
      <c r="C65" s="170"/>
      <c r="D65" s="806"/>
      <c r="E65" s="213"/>
      <c r="F65" s="181" t="s">
        <v>1303</v>
      </c>
      <c r="G65" s="784"/>
      <c r="H65" s="182" t="s">
        <v>1161</v>
      </c>
      <c r="I65" s="183" t="s">
        <v>1378</v>
      </c>
      <c r="J65" s="192">
        <f ca="1">NISTMap!M58</f>
        <v>0</v>
      </c>
      <c r="K65" s="188">
        <f>NISTMap!O58</f>
        <v>6</v>
      </c>
      <c r="L65" s="193">
        <f ca="1">NISTMap!P58</f>
        <v>0</v>
      </c>
      <c r="M65" s="194">
        <f>NISTMap!R58</f>
        <v>2</v>
      </c>
      <c r="N65" s="193">
        <f ca="1">NISTMap!S58</f>
        <v>0</v>
      </c>
      <c r="O65" s="195">
        <f>NISTMap!U58</f>
        <v>2</v>
      </c>
      <c r="P65" s="193">
        <f ca="1">NISTMap!V58</f>
        <v>0</v>
      </c>
      <c r="Q65" s="196">
        <f>NISTMap!X58</f>
        <v>2</v>
      </c>
      <c r="R65" s="160"/>
      <c r="S65" s="55"/>
    </row>
    <row r="66" spans="1:19" ht="45" customHeight="1" x14ac:dyDescent="0.25">
      <c r="A66" s="4"/>
      <c r="B66" s="155"/>
      <c r="C66" s="170"/>
      <c r="D66" s="806"/>
      <c r="E66" s="213"/>
      <c r="F66" s="181" t="s">
        <v>1303</v>
      </c>
      <c r="G66" s="784"/>
      <c r="H66" s="182" t="s">
        <v>1162</v>
      </c>
      <c r="I66" s="183" t="s">
        <v>1379</v>
      </c>
      <c r="J66" s="192">
        <f ca="1">NISTMap!M59</f>
        <v>0</v>
      </c>
      <c r="K66" s="188">
        <f>NISTMap!O59</f>
        <v>15</v>
      </c>
      <c r="L66" s="193">
        <f ca="1">NISTMap!P59</f>
        <v>0</v>
      </c>
      <c r="M66" s="194">
        <f>NISTMap!R59</f>
        <v>1</v>
      </c>
      <c r="N66" s="193">
        <f ca="1">NISTMap!S59</f>
        <v>0</v>
      </c>
      <c r="O66" s="195">
        <f>NISTMap!U59</f>
        <v>10</v>
      </c>
      <c r="P66" s="193">
        <f ca="1">NISTMap!V59</f>
        <v>0</v>
      </c>
      <c r="Q66" s="196">
        <f>NISTMap!X59</f>
        <v>4</v>
      </c>
      <c r="R66" s="160"/>
      <c r="S66" s="55"/>
    </row>
    <row r="67" spans="1:19" ht="30" customHeight="1" x14ac:dyDescent="0.25">
      <c r="A67" s="4"/>
      <c r="B67" s="155"/>
      <c r="C67" s="170"/>
      <c r="D67" s="806"/>
      <c r="E67" s="214"/>
      <c r="F67" s="185" t="s">
        <v>1303</v>
      </c>
      <c r="G67" s="786"/>
      <c r="H67" s="186" t="s">
        <v>1170</v>
      </c>
      <c r="I67" s="187" t="s">
        <v>1380</v>
      </c>
      <c r="J67" s="202">
        <f ca="1">NISTMap!M60</f>
        <v>0</v>
      </c>
      <c r="K67" s="190">
        <f>NISTMap!O60</f>
        <v>6</v>
      </c>
      <c r="L67" s="203">
        <f>NISTMap!P60</f>
        <v>0</v>
      </c>
      <c r="M67" s="204">
        <f>NISTMap!R60</f>
        <v>0</v>
      </c>
      <c r="N67" s="203">
        <f ca="1">NISTMap!S60</f>
        <v>0</v>
      </c>
      <c r="O67" s="205">
        <f>NISTMap!U60</f>
        <v>2</v>
      </c>
      <c r="P67" s="203">
        <f ca="1">NISTMap!V60</f>
        <v>0</v>
      </c>
      <c r="Q67" s="206">
        <f>NISTMap!X60</f>
        <v>4</v>
      </c>
      <c r="R67" s="160"/>
      <c r="S67" s="55"/>
    </row>
    <row r="68" spans="1:19" ht="30" customHeight="1" x14ac:dyDescent="0.25">
      <c r="A68" s="4"/>
      <c r="B68" s="155"/>
      <c r="C68" s="170"/>
      <c r="D68" s="806"/>
      <c r="E68" s="180"/>
      <c r="F68" s="181" t="s">
        <v>1303</v>
      </c>
      <c r="G68" s="784"/>
      <c r="H68" s="182" t="s">
        <v>996</v>
      </c>
      <c r="I68" s="183" t="s">
        <v>1381</v>
      </c>
      <c r="J68" s="192">
        <f ca="1">NISTMap!M61</f>
        <v>0</v>
      </c>
      <c r="K68" s="188">
        <f>NISTMap!O61</f>
        <v>6</v>
      </c>
      <c r="L68" s="193">
        <f ca="1">NISTMap!P61</f>
        <v>0</v>
      </c>
      <c r="M68" s="194">
        <f>NISTMap!R61</f>
        <v>2</v>
      </c>
      <c r="N68" s="193">
        <f ca="1">NISTMap!S61</f>
        <v>0</v>
      </c>
      <c r="O68" s="195">
        <f>NISTMap!U61</f>
        <v>2</v>
      </c>
      <c r="P68" s="193">
        <f ca="1">NISTMap!V61</f>
        <v>0</v>
      </c>
      <c r="Q68" s="196">
        <f>NISTMap!X61</f>
        <v>2</v>
      </c>
      <c r="R68" s="160"/>
      <c r="S68" s="55"/>
    </row>
    <row r="69" spans="1:19" ht="30" customHeight="1" x14ac:dyDescent="0.25">
      <c r="A69" s="4"/>
      <c r="B69" s="155"/>
      <c r="C69" s="170"/>
      <c r="D69" s="806"/>
      <c r="E69" s="180"/>
      <c r="F69" s="181" t="s">
        <v>1303</v>
      </c>
      <c r="G69" s="784"/>
      <c r="H69" s="182" t="s">
        <v>1176</v>
      </c>
      <c r="I69" s="183" t="s">
        <v>1382</v>
      </c>
      <c r="J69" s="192">
        <f ca="1">NISTMap!M62</f>
        <v>0</v>
      </c>
      <c r="K69" s="188">
        <f>NISTMap!O62</f>
        <v>3</v>
      </c>
      <c r="L69" s="193">
        <f>NISTMap!P62</f>
        <v>0</v>
      </c>
      <c r="M69" s="194">
        <f>NISTMap!R62</f>
        <v>0</v>
      </c>
      <c r="N69" s="193">
        <f ca="1">NISTMap!S62</f>
        <v>0</v>
      </c>
      <c r="O69" s="195">
        <f>NISTMap!U62</f>
        <v>1</v>
      </c>
      <c r="P69" s="193">
        <f ca="1">NISTMap!V62</f>
        <v>0</v>
      </c>
      <c r="Q69" s="196">
        <f>NISTMap!X62</f>
        <v>2</v>
      </c>
      <c r="R69" s="160"/>
      <c r="S69" s="55"/>
    </row>
    <row r="70" spans="1:19" ht="30" customHeight="1" x14ac:dyDescent="0.25">
      <c r="A70" s="4"/>
      <c r="B70" s="155"/>
      <c r="C70" s="170"/>
      <c r="D70" s="806"/>
      <c r="E70" s="180" t="s">
        <v>1262</v>
      </c>
      <c r="F70" s="181" t="s">
        <v>1383</v>
      </c>
      <c r="G70" s="784" t="s">
        <v>1384</v>
      </c>
      <c r="H70" s="182" t="s">
        <v>1179</v>
      </c>
      <c r="I70" s="183" t="s">
        <v>1385</v>
      </c>
      <c r="J70" s="192">
        <f ca="1">NISTMap!M63</f>
        <v>0</v>
      </c>
      <c r="K70" s="188">
        <f>NISTMap!O63</f>
        <v>3</v>
      </c>
      <c r="L70" s="193">
        <f ca="1">NISTMap!P63</f>
        <v>0</v>
      </c>
      <c r="M70" s="194">
        <f>NISTMap!R63</f>
        <v>1</v>
      </c>
      <c r="N70" s="193">
        <f ca="1">NISTMap!S63</f>
        <v>0</v>
      </c>
      <c r="O70" s="195">
        <f>NISTMap!U63</f>
        <v>1</v>
      </c>
      <c r="P70" s="193">
        <f ca="1">NISTMap!V63</f>
        <v>0</v>
      </c>
      <c r="Q70" s="196">
        <f>NISTMap!X63</f>
        <v>1</v>
      </c>
      <c r="R70" s="160"/>
      <c r="S70" s="55"/>
    </row>
    <row r="71" spans="1:19" ht="45" customHeight="1" x14ac:dyDescent="0.25">
      <c r="A71" s="4"/>
      <c r="B71" s="155"/>
      <c r="C71" s="170"/>
      <c r="D71" s="806"/>
      <c r="E71" s="180"/>
      <c r="F71" s="181" t="s">
        <v>1303</v>
      </c>
      <c r="G71" s="784"/>
      <c r="H71" s="182" t="s">
        <v>997</v>
      </c>
      <c r="I71" s="183" t="s">
        <v>1386</v>
      </c>
      <c r="J71" s="192">
        <f ca="1">NISTMap!M64</f>
        <v>0</v>
      </c>
      <c r="K71" s="188">
        <f>NISTMap!O64</f>
        <v>8</v>
      </c>
      <c r="L71" s="193">
        <f ca="1">NISTMap!P64</f>
        <v>0</v>
      </c>
      <c r="M71" s="194">
        <f>NISTMap!R64</f>
        <v>4</v>
      </c>
      <c r="N71" s="193">
        <f ca="1">NISTMap!S64</f>
        <v>0</v>
      </c>
      <c r="O71" s="195">
        <f>NISTMap!U64</f>
        <v>3</v>
      </c>
      <c r="P71" s="193">
        <f ca="1">NISTMap!V64</f>
        <v>0</v>
      </c>
      <c r="Q71" s="196">
        <f>NISTMap!X64</f>
        <v>1</v>
      </c>
      <c r="R71" s="160"/>
      <c r="S71" s="55"/>
    </row>
    <row r="72" spans="1:19" ht="30" customHeight="1" x14ac:dyDescent="0.25">
      <c r="A72" s="4"/>
      <c r="B72" s="155"/>
      <c r="C72" s="170"/>
      <c r="D72" s="806"/>
      <c r="E72" s="212" t="s">
        <v>1263</v>
      </c>
      <c r="F72" s="177" t="s">
        <v>1387</v>
      </c>
      <c r="G72" s="785" t="s">
        <v>1388</v>
      </c>
      <c r="H72" s="178" t="s">
        <v>1181</v>
      </c>
      <c r="I72" s="179" t="s">
        <v>1389</v>
      </c>
      <c r="J72" s="197">
        <f ca="1">NISTMap!M65</f>
        <v>0</v>
      </c>
      <c r="K72" s="189">
        <f>NISTMap!O65</f>
        <v>8</v>
      </c>
      <c r="L72" s="198">
        <f ca="1">NISTMap!P65</f>
        <v>0</v>
      </c>
      <c r="M72" s="199">
        <f>NISTMap!R65</f>
        <v>2</v>
      </c>
      <c r="N72" s="198">
        <f ca="1">NISTMap!S65</f>
        <v>0</v>
      </c>
      <c r="O72" s="200">
        <f>NISTMap!U65</f>
        <v>4</v>
      </c>
      <c r="P72" s="198">
        <f ca="1">NISTMap!V65</f>
        <v>0</v>
      </c>
      <c r="Q72" s="201">
        <f>NISTMap!X65</f>
        <v>2</v>
      </c>
      <c r="R72" s="160"/>
      <c r="S72" s="55"/>
    </row>
    <row r="73" spans="1:19" ht="30" customHeight="1" x14ac:dyDescent="0.25">
      <c r="A73" s="4"/>
      <c r="B73" s="155"/>
      <c r="C73" s="170"/>
      <c r="D73" s="806"/>
      <c r="E73" s="213"/>
      <c r="F73" s="181" t="s">
        <v>1303</v>
      </c>
      <c r="G73" s="784"/>
      <c r="H73" s="182" t="s">
        <v>998</v>
      </c>
      <c r="I73" s="183" t="s">
        <v>1390</v>
      </c>
      <c r="J73" s="192">
        <f ca="1">NISTMap!M66</f>
        <v>0</v>
      </c>
      <c r="K73" s="188">
        <f>NISTMap!O66</f>
        <v>4</v>
      </c>
      <c r="L73" s="193">
        <f ca="1">NISTMap!P66</f>
        <v>0</v>
      </c>
      <c r="M73" s="194">
        <f>NISTMap!R66</f>
        <v>3</v>
      </c>
      <c r="N73" s="193">
        <f>NISTMap!S66</f>
        <v>0</v>
      </c>
      <c r="O73" s="195">
        <f>NISTMap!U66</f>
        <v>0</v>
      </c>
      <c r="P73" s="193">
        <f ca="1">NISTMap!V66</f>
        <v>0</v>
      </c>
      <c r="Q73" s="196">
        <f>NISTMap!X66</f>
        <v>1</v>
      </c>
      <c r="R73" s="160"/>
      <c r="S73" s="55"/>
    </row>
    <row r="74" spans="1:19" ht="30" customHeight="1" x14ac:dyDescent="0.25">
      <c r="A74" s="4"/>
      <c r="B74" s="155"/>
      <c r="C74" s="170"/>
      <c r="D74" s="806"/>
      <c r="E74" s="213"/>
      <c r="F74" s="181" t="s">
        <v>1303</v>
      </c>
      <c r="G74" s="784"/>
      <c r="H74" s="182" t="s">
        <v>999</v>
      </c>
      <c r="I74" s="183" t="s">
        <v>1391</v>
      </c>
      <c r="J74" s="192">
        <f ca="1">NISTMap!M67</f>
        <v>0</v>
      </c>
      <c r="K74" s="188">
        <f>NISTMap!O67</f>
        <v>8</v>
      </c>
      <c r="L74" s="193">
        <f ca="1">NISTMap!P67</f>
        <v>0</v>
      </c>
      <c r="M74" s="194">
        <f>NISTMap!R67</f>
        <v>3</v>
      </c>
      <c r="N74" s="193">
        <f ca="1">NISTMap!S67</f>
        <v>0</v>
      </c>
      <c r="O74" s="195">
        <f>NISTMap!U67</f>
        <v>3</v>
      </c>
      <c r="P74" s="193">
        <f ca="1">NISTMap!V67</f>
        <v>0</v>
      </c>
      <c r="Q74" s="196">
        <f>NISTMap!X67</f>
        <v>2</v>
      </c>
      <c r="R74" s="160"/>
      <c r="S74" s="55"/>
    </row>
    <row r="75" spans="1:19" ht="30" customHeight="1" x14ac:dyDescent="0.25">
      <c r="A75" s="4"/>
      <c r="B75" s="155"/>
      <c r="C75" s="170"/>
      <c r="D75" s="806"/>
      <c r="E75" s="213"/>
      <c r="F75" s="181" t="s">
        <v>1303</v>
      </c>
      <c r="G75" s="784"/>
      <c r="H75" s="182" t="s">
        <v>1189</v>
      </c>
      <c r="I75" s="183" t="s">
        <v>1392</v>
      </c>
      <c r="J75" s="192">
        <f ca="1">NISTMap!M68</f>
        <v>0</v>
      </c>
      <c r="K75" s="188">
        <f>NISTMap!O68</f>
        <v>7</v>
      </c>
      <c r="L75" s="193">
        <f ca="1">NISTMap!P68</f>
        <v>0</v>
      </c>
      <c r="M75" s="194">
        <f>NISTMap!R68</f>
        <v>1</v>
      </c>
      <c r="N75" s="193">
        <f ca="1">NISTMap!S68</f>
        <v>0</v>
      </c>
      <c r="O75" s="195">
        <f>NISTMap!U68</f>
        <v>4</v>
      </c>
      <c r="P75" s="193">
        <f ca="1">NISTMap!V68</f>
        <v>0</v>
      </c>
      <c r="Q75" s="196">
        <f>NISTMap!X68</f>
        <v>2</v>
      </c>
      <c r="R75" s="160"/>
      <c r="S75" s="55"/>
    </row>
    <row r="76" spans="1:19" ht="45" customHeight="1" x14ac:dyDescent="0.25">
      <c r="A76" s="4"/>
      <c r="B76" s="155"/>
      <c r="C76" s="170"/>
      <c r="D76" s="806"/>
      <c r="E76" s="214"/>
      <c r="F76" s="185" t="s">
        <v>1303</v>
      </c>
      <c r="G76" s="786"/>
      <c r="H76" s="186" t="s">
        <v>1190</v>
      </c>
      <c r="I76" s="187" t="s">
        <v>1393</v>
      </c>
      <c r="J76" s="202">
        <f ca="1">NISTMap!M69</f>
        <v>0</v>
      </c>
      <c r="K76" s="190">
        <f>NISTMap!O69</f>
        <v>3</v>
      </c>
      <c r="L76" s="203">
        <f ca="1">NISTMap!P69</f>
        <v>0</v>
      </c>
      <c r="M76" s="204">
        <f>NISTMap!R69</f>
        <v>1</v>
      </c>
      <c r="N76" s="203">
        <f ca="1">NISTMap!S69</f>
        <v>0</v>
      </c>
      <c r="O76" s="205">
        <f>NISTMap!U69</f>
        <v>2</v>
      </c>
      <c r="P76" s="203">
        <f>NISTMap!V69</f>
        <v>0</v>
      </c>
      <c r="Q76" s="206">
        <f>NISTMap!X69</f>
        <v>0</v>
      </c>
      <c r="R76" s="160"/>
      <c r="S76" s="55"/>
    </row>
    <row r="77" spans="1:19" ht="30" customHeight="1" x14ac:dyDescent="0.25">
      <c r="A77" s="4"/>
      <c r="B77" s="155"/>
      <c r="C77" s="170"/>
      <c r="D77" s="802" t="s">
        <v>1394</v>
      </c>
      <c r="E77" s="172" t="s">
        <v>1264</v>
      </c>
      <c r="F77" s="173" t="s">
        <v>1395</v>
      </c>
      <c r="G77" s="795" t="s">
        <v>1396</v>
      </c>
      <c r="H77" s="174" t="s">
        <v>1191</v>
      </c>
      <c r="I77" s="175" t="s">
        <v>1397</v>
      </c>
      <c r="J77" s="197">
        <f ca="1">NISTMap!M70</f>
        <v>0</v>
      </c>
      <c r="K77" s="189">
        <f>NISTMap!O70</f>
        <v>1</v>
      </c>
      <c r="L77" s="198">
        <f ca="1">NISTMap!P70</f>
        <v>0</v>
      </c>
      <c r="M77" s="199">
        <f>NISTMap!R70</f>
        <v>1</v>
      </c>
      <c r="N77" s="198">
        <f>NISTMap!S70</f>
        <v>0</v>
      </c>
      <c r="O77" s="200">
        <f>NISTMap!U70</f>
        <v>0</v>
      </c>
      <c r="P77" s="198">
        <f>NISTMap!V70</f>
        <v>0</v>
      </c>
      <c r="Q77" s="201">
        <f>NISTMap!X70</f>
        <v>0</v>
      </c>
      <c r="R77" s="160"/>
      <c r="S77" s="55"/>
    </row>
    <row r="78" spans="1:19" ht="30" customHeight="1" x14ac:dyDescent="0.25">
      <c r="A78" s="4"/>
      <c r="B78" s="155"/>
      <c r="C78" s="170"/>
      <c r="D78" s="803"/>
      <c r="E78" s="172"/>
      <c r="F78" s="173" t="s">
        <v>1303</v>
      </c>
      <c r="G78" s="795"/>
      <c r="H78" s="174" t="s">
        <v>1192</v>
      </c>
      <c r="I78" s="175" t="s">
        <v>1398</v>
      </c>
      <c r="J78" s="192">
        <f ca="1">NISTMap!M71</f>
        <v>0</v>
      </c>
      <c r="K78" s="188">
        <f>NISTMap!O71</f>
        <v>3</v>
      </c>
      <c r="L78" s="193">
        <f>NISTMap!P71</f>
        <v>0</v>
      </c>
      <c r="M78" s="194">
        <f>NISTMap!R71</f>
        <v>0</v>
      </c>
      <c r="N78" s="193">
        <f>NISTMap!S71</f>
        <v>0</v>
      </c>
      <c r="O78" s="195">
        <f>NISTMap!U71</f>
        <v>0</v>
      </c>
      <c r="P78" s="193">
        <f ca="1">NISTMap!V71</f>
        <v>0</v>
      </c>
      <c r="Q78" s="196">
        <f>NISTMap!X71</f>
        <v>3</v>
      </c>
      <c r="R78" s="160"/>
      <c r="S78" s="55"/>
    </row>
    <row r="79" spans="1:19" ht="30" customHeight="1" x14ac:dyDescent="0.25">
      <c r="A79" s="4"/>
      <c r="B79" s="155"/>
      <c r="C79" s="170"/>
      <c r="D79" s="803"/>
      <c r="E79" s="172"/>
      <c r="F79" s="173" t="s">
        <v>1303</v>
      </c>
      <c r="G79" s="795"/>
      <c r="H79" s="174" t="s">
        <v>1196</v>
      </c>
      <c r="I79" s="175" t="s">
        <v>1399</v>
      </c>
      <c r="J79" s="192">
        <f ca="1">NISTMap!M72</f>
        <v>0</v>
      </c>
      <c r="K79" s="188">
        <f>NISTMap!O72</f>
        <v>3</v>
      </c>
      <c r="L79" s="193">
        <f>NISTMap!P72</f>
        <v>0</v>
      </c>
      <c r="M79" s="194">
        <f>NISTMap!R72</f>
        <v>0</v>
      </c>
      <c r="N79" s="193">
        <f ca="1">NISTMap!S72</f>
        <v>0</v>
      </c>
      <c r="O79" s="195">
        <f>NISTMap!U72</f>
        <v>1</v>
      </c>
      <c r="P79" s="193">
        <f ca="1">NISTMap!V72</f>
        <v>0</v>
      </c>
      <c r="Q79" s="196">
        <f>NISTMap!X72</f>
        <v>2</v>
      </c>
      <c r="R79" s="160"/>
      <c r="S79" s="55"/>
    </row>
    <row r="80" spans="1:19" ht="30" customHeight="1" x14ac:dyDescent="0.25">
      <c r="A80" s="4"/>
      <c r="B80" s="155"/>
      <c r="C80" s="170"/>
      <c r="D80" s="803"/>
      <c r="E80" s="172"/>
      <c r="F80" s="173" t="s">
        <v>1303</v>
      </c>
      <c r="G80" s="795"/>
      <c r="H80" s="174" t="s">
        <v>1198</v>
      </c>
      <c r="I80" s="175" t="s">
        <v>1400</v>
      </c>
      <c r="J80" s="192">
        <f ca="1">NISTMap!M73</f>
        <v>0</v>
      </c>
      <c r="K80" s="188">
        <f>NISTMap!O73</f>
        <v>6</v>
      </c>
      <c r="L80" s="193">
        <f ca="1">NISTMap!P73</f>
        <v>0</v>
      </c>
      <c r="M80" s="194">
        <f>NISTMap!R73</f>
        <v>1</v>
      </c>
      <c r="N80" s="193">
        <f ca="1">NISTMap!S73</f>
        <v>0</v>
      </c>
      <c r="O80" s="195">
        <f>NISTMap!U73</f>
        <v>3</v>
      </c>
      <c r="P80" s="193">
        <f ca="1">NISTMap!V73</f>
        <v>0</v>
      </c>
      <c r="Q80" s="196">
        <f>NISTMap!X73</f>
        <v>2</v>
      </c>
      <c r="R80" s="160"/>
      <c r="S80" s="55"/>
    </row>
    <row r="81" spans="1:19" ht="30" customHeight="1" x14ac:dyDescent="0.25">
      <c r="A81" s="4"/>
      <c r="B81" s="155"/>
      <c r="C81" s="170"/>
      <c r="D81" s="803"/>
      <c r="E81" s="172"/>
      <c r="F81" s="173" t="s">
        <v>1303</v>
      </c>
      <c r="G81" s="795"/>
      <c r="H81" s="174" t="s">
        <v>1202</v>
      </c>
      <c r="I81" s="175" t="s">
        <v>1401</v>
      </c>
      <c r="J81" s="192">
        <f ca="1">NISTMap!M74</f>
        <v>0</v>
      </c>
      <c r="K81" s="188">
        <f>NISTMap!O74</f>
        <v>8</v>
      </c>
      <c r="L81" s="193">
        <f ca="1">NISTMap!P74</f>
        <v>0</v>
      </c>
      <c r="M81" s="194">
        <f>NISTMap!R74</f>
        <v>1</v>
      </c>
      <c r="N81" s="193">
        <f ca="1">NISTMap!S74</f>
        <v>0</v>
      </c>
      <c r="O81" s="195">
        <f>NISTMap!U74</f>
        <v>4</v>
      </c>
      <c r="P81" s="193">
        <f ca="1">NISTMap!V74</f>
        <v>0</v>
      </c>
      <c r="Q81" s="196">
        <f>NISTMap!X74</f>
        <v>3</v>
      </c>
      <c r="R81" s="160"/>
      <c r="S81" s="55"/>
    </row>
    <row r="82" spans="1:19" ht="30" customHeight="1" x14ac:dyDescent="0.25">
      <c r="A82" s="4"/>
      <c r="B82" s="155"/>
      <c r="C82" s="170"/>
      <c r="D82" s="803"/>
      <c r="E82" s="212" t="s">
        <v>1265</v>
      </c>
      <c r="F82" s="177" t="s">
        <v>1402</v>
      </c>
      <c r="G82" s="785" t="s">
        <v>1403</v>
      </c>
      <c r="H82" s="178" t="s">
        <v>1205</v>
      </c>
      <c r="I82" s="179" t="s">
        <v>1404</v>
      </c>
      <c r="J82" s="197">
        <f ca="1">NISTMap!M75</f>
        <v>0</v>
      </c>
      <c r="K82" s="189">
        <f>NISTMap!O75</f>
        <v>8</v>
      </c>
      <c r="L82" s="198">
        <f ca="1">NISTMap!P75</f>
        <v>0</v>
      </c>
      <c r="M82" s="199">
        <f>NISTMap!R75</f>
        <v>2</v>
      </c>
      <c r="N82" s="198">
        <f ca="1">NISTMap!S75</f>
        <v>0</v>
      </c>
      <c r="O82" s="200">
        <f>NISTMap!U75</f>
        <v>3</v>
      </c>
      <c r="P82" s="198">
        <f ca="1">NISTMap!V75</f>
        <v>0</v>
      </c>
      <c r="Q82" s="201">
        <f>NISTMap!X75</f>
        <v>3</v>
      </c>
      <c r="R82" s="160"/>
      <c r="S82" s="55"/>
    </row>
    <row r="83" spans="1:19" ht="30" customHeight="1" x14ac:dyDescent="0.25">
      <c r="A83" s="4"/>
      <c r="B83" s="155"/>
      <c r="C83" s="170"/>
      <c r="D83" s="803"/>
      <c r="E83" s="213"/>
      <c r="F83" s="181" t="s">
        <v>1303</v>
      </c>
      <c r="G83" s="784"/>
      <c r="H83" s="182" t="s">
        <v>1209</v>
      </c>
      <c r="I83" s="183" t="s">
        <v>1405</v>
      </c>
      <c r="J83" s="192">
        <f ca="1">NISTMap!M76</f>
        <v>0</v>
      </c>
      <c r="K83" s="188">
        <f>NISTMap!O76</f>
        <v>5</v>
      </c>
      <c r="L83" s="193">
        <f ca="1">NISTMap!P76</f>
        <v>0</v>
      </c>
      <c r="M83" s="194">
        <f>NISTMap!R76</f>
        <v>2</v>
      </c>
      <c r="N83" s="193">
        <f ca="1">NISTMap!S76</f>
        <v>0</v>
      </c>
      <c r="O83" s="195">
        <f>NISTMap!U76</f>
        <v>1</v>
      </c>
      <c r="P83" s="193">
        <f ca="1">NISTMap!V76</f>
        <v>0</v>
      </c>
      <c r="Q83" s="196">
        <f>NISTMap!X76</f>
        <v>2</v>
      </c>
      <c r="R83" s="160"/>
      <c r="S83" s="55"/>
    </row>
    <row r="84" spans="1:19" ht="30" customHeight="1" x14ac:dyDescent="0.25">
      <c r="A84" s="4"/>
      <c r="B84" s="155"/>
      <c r="C84" s="170"/>
      <c r="D84" s="803"/>
      <c r="E84" s="213"/>
      <c r="F84" s="181" t="s">
        <v>1303</v>
      </c>
      <c r="G84" s="784"/>
      <c r="H84" s="182" t="s">
        <v>1210</v>
      </c>
      <c r="I84" s="183" t="s">
        <v>1406</v>
      </c>
      <c r="J84" s="192">
        <f ca="1">NISTMap!M77</f>
        <v>0</v>
      </c>
      <c r="K84" s="188">
        <f>NISTMap!O77</f>
        <v>5</v>
      </c>
      <c r="L84" s="193">
        <f ca="1">NISTMap!P77</f>
        <v>0</v>
      </c>
      <c r="M84" s="194">
        <f>NISTMap!R77</f>
        <v>2</v>
      </c>
      <c r="N84" s="193">
        <f ca="1">NISTMap!S77</f>
        <v>0</v>
      </c>
      <c r="O84" s="195">
        <f>NISTMap!U77</f>
        <v>1</v>
      </c>
      <c r="P84" s="193">
        <f ca="1">NISTMap!V77</f>
        <v>0</v>
      </c>
      <c r="Q84" s="196">
        <f>NISTMap!X77</f>
        <v>2</v>
      </c>
      <c r="R84" s="160"/>
      <c r="S84" s="55"/>
    </row>
    <row r="85" spans="1:19" ht="30" customHeight="1" x14ac:dyDescent="0.25">
      <c r="A85" s="4"/>
      <c r="B85" s="155"/>
      <c r="C85" s="170"/>
      <c r="D85" s="803"/>
      <c r="E85" s="213"/>
      <c r="F85" s="181" t="s">
        <v>1303</v>
      </c>
      <c r="G85" s="784"/>
      <c r="H85" s="182" t="s">
        <v>1212</v>
      </c>
      <c r="I85" s="183" t="s">
        <v>1407</v>
      </c>
      <c r="J85" s="192">
        <f ca="1">NISTMap!M78</f>
        <v>0</v>
      </c>
      <c r="K85" s="188">
        <f>NISTMap!O78</f>
        <v>7</v>
      </c>
      <c r="L85" s="193">
        <f ca="1">NISTMap!P78</f>
        <v>0</v>
      </c>
      <c r="M85" s="194">
        <f>NISTMap!R78</f>
        <v>2</v>
      </c>
      <c r="N85" s="193">
        <f ca="1">NISTMap!S78</f>
        <v>0</v>
      </c>
      <c r="O85" s="195">
        <f>NISTMap!U78</f>
        <v>2</v>
      </c>
      <c r="P85" s="193">
        <f ca="1">NISTMap!V78</f>
        <v>0</v>
      </c>
      <c r="Q85" s="196">
        <f>NISTMap!X78</f>
        <v>3</v>
      </c>
      <c r="R85" s="160"/>
      <c r="S85" s="55"/>
    </row>
    <row r="86" spans="1:19" ht="30" customHeight="1" x14ac:dyDescent="0.25">
      <c r="A86" s="4"/>
      <c r="B86" s="155"/>
      <c r="C86" s="170"/>
      <c r="D86" s="803"/>
      <c r="E86" s="213"/>
      <c r="F86" s="181" t="s">
        <v>1303</v>
      </c>
      <c r="G86" s="784"/>
      <c r="H86" s="182" t="s">
        <v>1000</v>
      </c>
      <c r="I86" s="183" t="s">
        <v>1408</v>
      </c>
      <c r="J86" s="192">
        <f ca="1">NISTMap!M79</f>
        <v>0</v>
      </c>
      <c r="K86" s="188">
        <f>NISTMap!O79</f>
        <v>6</v>
      </c>
      <c r="L86" s="193">
        <f ca="1">NISTMap!P79</f>
        <v>0</v>
      </c>
      <c r="M86" s="194">
        <f>NISTMap!R79</f>
        <v>2</v>
      </c>
      <c r="N86" s="193">
        <f ca="1">NISTMap!S79</f>
        <v>0</v>
      </c>
      <c r="O86" s="195">
        <f>NISTMap!U79</f>
        <v>1</v>
      </c>
      <c r="P86" s="193">
        <f ca="1">NISTMap!V79</f>
        <v>0</v>
      </c>
      <c r="Q86" s="196">
        <f>NISTMap!X79</f>
        <v>3</v>
      </c>
      <c r="R86" s="160"/>
      <c r="S86" s="55"/>
    </row>
    <row r="87" spans="1:19" ht="30" customHeight="1" x14ac:dyDescent="0.25">
      <c r="A87" s="4"/>
      <c r="B87" s="155"/>
      <c r="C87" s="170"/>
      <c r="D87" s="803"/>
      <c r="E87" s="213"/>
      <c r="F87" s="181" t="s">
        <v>1303</v>
      </c>
      <c r="G87" s="784"/>
      <c r="H87" s="182" t="s">
        <v>1001</v>
      </c>
      <c r="I87" s="183" t="s">
        <v>1409</v>
      </c>
      <c r="J87" s="192">
        <f ca="1">NISTMap!M80</f>
        <v>0</v>
      </c>
      <c r="K87" s="188">
        <f>NISTMap!O80</f>
        <v>6</v>
      </c>
      <c r="L87" s="193">
        <f ca="1">NISTMap!P80</f>
        <v>0</v>
      </c>
      <c r="M87" s="194">
        <f>NISTMap!R80</f>
        <v>3</v>
      </c>
      <c r="N87" s="193">
        <f ca="1">NISTMap!S80</f>
        <v>0</v>
      </c>
      <c r="O87" s="195">
        <f>NISTMap!U80</f>
        <v>1</v>
      </c>
      <c r="P87" s="193">
        <f ca="1">NISTMap!V80</f>
        <v>0</v>
      </c>
      <c r="Q87" s="196">
        <f>NISTMap!X80</f>
        <v>2</v>
      </c>
      <c r="R87" s="160"/>
      <c r="S87" s="55"/>
    </row>
    <row r="88" spans="1:19" ht="30" customHeight="1" x14ac:dyDescent="0.25">
      <c r="A88" s="4"/>
      <c r="B88" s="155"/>
      <c r="C88" s="170"/>
      <c r="D88" s="803"/>
      <c r="E88" s="213"/>
      <c r="F88" s="181" t="s">
        <v>1303</v>
      </c>
      <c r="G88" s="784"/>
      <c r="H88" s="182" t="s">
        <v>1214</v>
      </c>
      <c r="I88" s="183" t="s">
        <v>1410</v>
      </c>
      <c r="J88" s="192">
        <f ca="1">NISTMap!M81</f>
        <v>0</v>
      </c>
      <c r="K88" s="188">
        <f>NISTMap!O81</f>
        <v>8</v>
      </c>
      <c r="L88" s="193">
        <f ca="1">NISTMap!P81</f>
        <v>0</v>
      </c>
      <c r="M88" s="194">
        <f>NISTMap!R81</f>
        <v>2</v>
      </c>
      <c r="N88" s="193">
        <f ca="1">NISTMap!S81</f>
        <v>0</v>
      </c>
      <c r="O88" s="195">
        <f>NISTMap!U81</f>
        <v>3</v>
      </c>
      <c r="P88" s="193">
        <f ca="1">NISTMap!V81</f>
        <v>0</v>
      </c>
      <c r="Q88" s="196">
        <f>NISTMap!X81</f>
        <v>3</v>
      </c>
      <c r="R88" s="160"/>
      <c r="S88" s="55"/>
    </row>
    <row r="89" spans="1:19" ht="30" customHeight="1" x14ac:dyDescent="0.25">
      <c r="A89" s="4"/>
      <c r="B89" s="155"/>
      <c r="C89" s="170"/>
      <c r="D89" s="803"/>
      <c r="E89" s="213"/>
      <c r="F89" s="181" t="s">
        <v>1303</v>
      </c>
      <c r="G89" s="784"/>
      <c r="H89" s="182" t="s">
        <v>1215</v>
      </c>
      <c r="I89" s="183" t="s">
        <v>1411</v>
      </c>
      <c r="J89" s="192">
        <f ca="1">NISTMap!M82</f>
        <v>0</v>
      </c>
      <c r="K89" s="188">
        <f>NISTMap!O82</f>
        <v>4</v>
      </c>
      <c r="L89" s="193">
        <f ca="1">NISTMap!P82</f>
        <v>0</v>
      </c>
      <c r="M89" s="194">
        <f>NISTMap!R82</f>
        <v>1</v>
      </c>
      <c r="N89" s="193">
        <f ca="1">NISTMap!S82</f>
        <v>0</v>
      </c>
      <c r="O89" s="195">
        <f>NISTMap!U82</f>
        <v>1</v>
      </c>
      <c r="P89" s="193">
        <f ca="1">NISTMap!V82</f>
        <v>0</v>
      </c>
      <c r="Q89" s="196">
        <f>NISTMap!X82</f>
        <v>2</v>
      </c>
      <c r="R89" s="160"/>
      <c r="S89" s="55"/>
    </row>
    <row r="90" spans="1:19" ht="30" customHeight="1" x14ac:dyDescent="0.25">
      <c r="A90" s="4"/>
      <c r="B90" s="155"/>
      <c r="C90" s="170"/>
      <c r="D90" s="803"/>
      <c r="E90" s="212" t="s">
        <v>1266</v>
      </c>
      <c r="F90" s="177" t="s">
        <v>1412</v>
      </c>
      <c r="G90" s="785" t="s">
        <v>1413</v>
      </c>
      <c r="H90" s="178" t="s">
        <v>1002</v>
      </c>
      <c r="I90" s="179" t="s">
        <v>1414</v>
      </c>
      <c r="J90" s="197">
        <f ca="1">NISTMap!M83</f>
        <v>0</v>
      </c>
      <c r="K90" s="189">
        <f>NISTMap!O83</f>
        <v>2</v>
      </c>
      <c r="L90" s="198">
        <f ca="1">NISTMap!P83</f>
        <v>0</v>
      </c>
      <c r="M90" s="199">
        <f>NISTMap!R83</f>
        <v>1</v>
      </c>
      <c r="N90" s="198">
        <f ca="1">NISTMap!S83</f>
        <v>0</v>
      </c>
      <c r="O90" s="200">
        <f>NISTMap!U83</f>
        <v>1</v>
      </c>
      <c r="P90" s="198">
        <f>NISTMap!V83</f>
        <v>0</v>
      </c>
      <c r="Q90" s="201">
        <f>NISTMap!X83</f>
        <v>0</v>
      </c>
      <c r="R90" s="160"/>
      <c r="S90" s="55"/>
    </row>
    <row r="91" spans="1:19" ht="30" customHeight="1" x14ac:dyDescent="0.25">
      <c r="A91" s="4"/>
      <c r="B91" s="155"/>
      <c r="C91" s="170"/>
      <c r="D91" s="803"/>
      <c r="E91" s="213"/>
      <c r="F91" s="181" t="s">
        <v>1303</v>
      </c>
      <c r="G91" s="784"/>
      <c r="H91" s="182" t="s">
        <v>1216</v>
      </c>
      <c r="I91" s="183" t="s">
        <v>1415</v>
      </c>
      <c r="J91" s="192">
        <f ca="1">NISTMap!M84</f>
        <v>0</v>
      </c>
      <c r="K91" s="188">
        <f>NISTMap!O84</f>
        <v>7</v>
      </c>
      <c r="L91" s="193">
        <f>NISTMap!P84</f>
        <v>0</v>
      </c>
      <c r="M91" s="194">
        <f>NISTMap!R84</f>
        <v>0</v>
      </c>
      <c r="N91" s="193">
        <f ca="1">NISTMap!S84</f>
        <v>0</v>
      </c>
      <c r="O91" s="195">
        <f>NISTMap!U84</f>
        <v>5</v>
      </c>
      <c r="P91" s="193">
        <f ca="1">NISTMap!V84</f>
        <v>0</v>
      </c>
      <c r="Q91" s="196">
        <f>NISTMap!X84</f>
        <v>2</v>
      </c>
      <c r="R91" s="160"/>
      <c r="S91" s="55"/>
    </row>
    <row r="92" spans="1:19" ht="30" customHeight="1" x14ac:dyDescent="0.25">
      <c r="A92" s="4"/>
      <c r="B92" s="155"/>
      <c r="C92" s="170"/>
      <c r="D92" s="803"/>
      <c r="E92" s="213"/>
      <c r="F92" s="181" t="s">
        <v>1303</v>
      </c>
      <c r="G92" s="784"/>
      <c r="H92" s="182" t="s">
        <v>1219</v>
      </c>
      <c r="I92" s="183" t="s">
        <v>1416</v>
      </c>
      <c r="J92" s="192">
        <f ca="1">NISTMap!M85</f>
        <v>0</v>
      </c>
      <c r="K92" s="188">
        <f>NISTMap!O85</f>
        <v>2</v>
      </c>
      <c r="L92" s="193">
        <f>NISTMap!P85</f>
        <v>0</v>
      </c>
      <c r="M92" s="194">
        <f>NISTMap!R85</f>
        <v>0</v>
      </c>
      <c r="N92" s="193">
        <f ca="1">NISTMap!S85</f>
        <v>0</v>
      </c>
      <c r="O92" s="195">
        <f>NISTMap!U85</f>
        <v>1</v>
      </c>
      <c r="P92" s="193">
        <f ca="1">NISTMap!V85</f>
        <v>0</v>
      </c>
      <c r="Q92" s="196">
        <f>NISTMap!X85</f>
        <v>1</v>
      </c>
      <c r="R92" s="160"/>
      <c r="S92" s="55"/>
    </row>
    <row r="93" spans="1:19" ht="30" customHeight="1" x14ac:dyDescent="0.25">
      <c r="A93" s="4"/>
      <c r="B93" s="155"/>
      <c r="C93" s="170"/>
      <c r="D93" s="803"/>
      <c r="E93" s="213"/>
      <c r="F93" s="181" t="s">
        <v>1303</v>
      </c>
      <c r="G93" s="784"/>
      <c r="H93" s="182" t="s">
        <v>1220</v>
      </c>
      <c r="I93" s="183" t="s">
        <v>1417</v>
      </c>
      <c r="J93" s="192">
        <f ca="1">NISTMap!M86</f>
        <v>0</v>
      </c>
      <c r="K93" s="188">
        <f>NISTMap!O86</f>
        <v>10</v>
      </c>
      <c r="L93" s="193">
        <f ca="1">NISTMap!P86</f>
        <v>0</v>
      </c>
      <c r="M93" s="194">
        <f>NISTMap!R86</f>
        <v>3</v>
      </c>
      <c r="N93" s="193">
        <f ca="1">NISTMap!S86</f>
        <v>0</v>
      </c>
      <c r="O93" s="195">
        <f>NISTMap!U86</f>
        <v>2</v>
      </c>
      <c r="P93" s="193">
        <f ca="1">NISTMap!V86</f>
        <v>0</v>
      </c>
      <c r="Q93" s="196">
        <f>NISTMap!X86</f>
        <v>5</v>
      </c>
      <c r="R93" s="160"/>
      <c r="S93" s="55"/>
    </row>
    <row r="94" spans="1:19" ht="30" customHeight="1" x14ac:dyDescent="0.25">
      <c r="A94" s="4"/>
      <c r="B94" s="155"/>
      <c r="C94" s="170"/>
      <c r="D94" s="804"/>
      <c r="E94" s="213"/>
      <c r="F94" s="181" t="s">
        <v>1303</v>
      </c>
      <c r="G94" s="784"/>
      <c r="H94" s="182" t="s">
        <v>1223</v>
      </c>
      <c r="I94" s="183" t="s">
        <v>1418</v>
      </c>
      <c r="J94" s="202">
        <f ca="1">NISTMap!M87</f>
        <v>0</v>
      </c>
      <c r="K94" s="190">
        <f>NISTMap!O87</f>
        <v>1</v>
      </c>
      <c r="L94" s="203">
        <f>NISTMap!P87</f>
        <v>0</v>
      </c>
      <c r="M94" s="204">
        <f>NISTMap!R87</f>
        <v>0</v>
      </c>
      <c r="N94" s="203">
        <f>NISTMap!S87</f>
        <v>0</v>
      </c>
      <c r="O94" s="205">
        <f>NISTMap!U87</f>
        <v>0</v>
      </c>
      <c r="P94" s="203">
        <f ca="1">NISTMap!V87</f>
        <v>0</v>
      </c>
      <c r="Q94" s="206">
        <f>NISTMap!X87</f>
        <v>1</v>
      </c>
      <c r="R94" s="160"/>
      <c r="S94" s="55"/>
    </row>
    <row r="95" spans="1:19" ht="30" customHeight="1" x14ac:dyDescent="0.25">
      <c r="A95" s="4"/>
      <c r="B95" s="155"/>
      <c r="C95" s="170"/>
      <c r="D95" s="805" t="s">
        <v>1419</v>
      </c>
      <c r="E95" s="176" t="s">
        <v>1267</v>
      </c>
      <c r="F95" s="177" t="s">
        <v>1420</v>
      </c>
      <c r="G95" s="177" t="s">
        <v>1421</v>
      </c>
      <c r="H95" s="178" t="s">
        <v>1224</v>
      </c>
      <c r="I95" s="179" t="s">
        <v>1422</v>
      </c>
      <c r="J95" s="192">
        <f ca="1">NISTMap!M88</f>
        <v>0</v>
      </c>
      <c r="K95" s="188">
        <f>NISTMap!O88</f>
        <v>1</v>
      </c>
      <c r="L95" s="193">
        <f>NISTMap!P88</f>
        <v>0</v>
      </c>
      <c r="M95" s="194">
        <f>NISTMap!R88</f>
        <v>0</v>
      </c>
      <c r="N95" s="193">
        <f ca="1">NISTMap!S88</f>
        <v>0</v>
      </c>
      <c r="O95" s="195">
        <f>NISTMap!U88</f>
        <v>1</v>
      </c>
      <c r="P95" s="193">
        <f>NISTMap!V88</f>
        <v>0</v>
      </c>
      <c r="Q95" s="196">
        <f>NISTMap!X88</f>
        <v>0</v>
      </c>
      <c r="R95" s="160"/>
      <c r="S95" s="55"/>
    </row>
    <row r="96" spans="1:19" ht="30" customHeight="1" x14ac:dyDescent="0.25">
      <c r="A96" s="4"/>
      <c r="B96" s="155"/>
      <c r="C96" s="170"/>
      <c r="D96" s="805"/>
      <c r="E96" s="212" t="s">
        <v>1268</v>
      </c>
      <c r="F96" s="177" t="s">
        <v>1423</v>
      </c>
      <c r="G96" s="785" t="s">
        <v>1424</v>
      </c>
      <c r="H96" s="178" t="s">
        <v>1226</v>
      </c>
      <c r="I96" s="179" t="s">
        <v>1425</v>
      </c>
      <c r="J96" s="197">
        <f ca="1">NISTMap!M89</f>
        <v>0</v>
      </c>
      <c r="K96" s="189">
        <f>NISTMap!O89</f>
        <v>1</v>
      </c>
      <c r="L96" s="198">
        <f ca="1">NISTMap!P89</f>
        <v>0</v>
      </c>
      <c r="M96" s="199">
        <f>NISTMap!R89</f>
        <v>1</v>
      </c>
      <c r="N96" s="198">
        <f>NISTMap!S89</f>
        <v>0</v>
      </c>
      <c r="O96" s="200">
        <f>NISTMap!U89</f>
        <v>0</v>
      </c>
      <c r="P96" s="198">
        <f>NISTMap!V89</f>
        <v>0</v>
      </c>
      <c r="Q96" s="201">
        <f>NISTMap!X89</f>
        <v>0</v>
      </c>
      <c r="R96" s="160"/>
      <c r="S96" s="55"/>
    </row>
    <row r="97" spans="1:19" ht="30" customHeight="1" x14ac:dyDescent="0.25">
      <c r="A97" s="4"/>
      <c r="B97" s="155"/>
      <c r="C97" s="170"/>
      <c r="D97" s="805"/>
      <c r="E97" s="213"/>
      <c r="F97" s="181" t="s">
        <v>1303</v>
      </c>
      <c r="G97" s="784"/>
      <c r="H97" s="182" t="s">
        <v>1228</v>
      </c>
      <c r="I97" s="183" t="s">
        <v>1426</v>
      </c>
      <c r="J97" s="192">
        <f ca="1">NISTMap!M90</f>
        <v>0</v>
      </c>
      <c r="K97" s="188">
        <f>NISTMap!O90</f>
        <v>4</v>
      </c>
      <c r="L97" s="193">
        <f ca="1">NISTMap!P90</f>
        <v>0</v>
      </c>
      <c r="M97" s="194">
        <f>NISTMap!R90</f>
        <v>2</v>
      </c>
      <c r="N97" s="193">
        <f ca="1">NISTMap!S90</f>
        <v>0</v>
      </c>
      <c r="O97" s="195">
        <f>NISTMap!U90</f>
        <v>2</v>
      </c>
      <c r="P97" s="193">
        <f>NISTMap!V90</f>
        <v>0</v>
      </c>
      <c r="Q97" s="196">
        <f>NISTMap!X90</f>
        <v>0</v>
      </c>
      <c r="R97" s="160"/>
      <c r="S97" s="55"/>
    </row>
    <row r="98" spans="1:19" ht="30" customHeight="1" x14ac:dyDescent="0.25">
      <c r="A98" s="4"/>
      <c r="B98" s="155"/>
      <c r="C98" s="170"/>
      <c r="D98" s="805"/>
      <c r="E98" s="213"/>
      <c r="F98" s="181" t="s">
        <v>1303</v>
      </c>
      <c r="G98" s="784"/>
      <c r="H98" s="182" t="s">
        <v>1229</v>
      </c>
      <c r="I98" s="183" t="s">
        <v>1427</v>
      </c>
      <c r="J98" s="192">
        <f ca="1">NISTMap!M91</f>
        <v>0</v>
      </c>
      <c r="K98" s="188">
        <f>NISTMap!O91</f>
        <v>11</v>
      </c>
      <c r="L98" s="193">
        <f>NISTMap!P91</f>
        <v>0</v>
      </c>
      <c r="M98" s="194">
        <f>NISTMap!R91</f>
        <v>0</v>
      </c>
      <c r="N98" s="193">
        <f ca="1">NISTMap!S91</f>
        <v>0</v>
      </c>
      <c r="O98" s="195">
        <f>NISTMap!U91</f>
        <v>5</v>
      </c>
      <c r="P98" s="193">
        <f ca="1">NISTMap!V91</f>
        <v>0</v>
      </c>
      <c r="Q98" s="196">
        <f>NISTMap!X91</f>
        <v>6</v>
      </c>
      <c r="R98" s="160"/>
      <c r="S98" s="55"/>
    </row>
    <row r="99" spans="1:19" ht="30" customHeight="1" x14ac:dyDescent="0.25">
      <c r="A99" s="4"/>
      <c r="B99" s="155"/>
      <c r="C99" s="170"/>
      <c r="D99" s="805"/>
      <c r="E99" s="213"/>
      <c r="F99" s="181" t="s">
        <v>1303</v>
      </c>
      <c r="G99" s="784"/>
      <c r="H99" s="182" t="s">
        <v>1231</v>
      </c>
      <c r="I99" s="183" t="s">
        <v>1428</v>
      </c>
      <c r="J99" s="192">
        <f ca="1">NISTMap!M92</f>
        <v>0</v>
      </c>
      <c r="K99" s="188">
        <f>NISTMap!O92</f>
        <v>3</v>
      </c>
      <c r="L99" s="193">
        <f>NISTMap!P92</f>
        <v>0</v>
      </c>
      <c r="M99" s="194">
        <f>NISTMap!R92</f>
        <v>0</v>
      </c>
      <c r="N99" s="193">
        <f ca="1">NISTMap!S92</f>
        <v>0</v>
      </c>
      <c r="O99" s="195">
        <f>NISTMap!U92</f>
        <v>3</v>
      </c>
      <c r="P99" s="193">
        <f>NISTMap!V92</f>
        <v>0</v>
      </c>
      <c r="Q99" s="196">
        <f>NISTMap!X92</f>
        <v>0</v>
      </c>
      <c r="R99" s="160"/>
      <c r="S99" s="55"/>
    </row>
    <row r="100" spans="1:19" ht="30" customHeight="1" x14ac:dyDescent="0.25">
      <c r="A100" s="4"/>
      <c r="B100" s="155"/>
      <c r="C100" s="170"/>
      <c r="D100" s="805"/>
      <c r="E100" s="213"/>
      <c r="F100" s="181" t="s">
        <v>1303</v>
      </c>
      <c r="G100" s="784"/>
      <c r="H100" s="182" t="s">
        <v>1232</v>
      </c>
      <c r="I100" s="183" t="s">
        <v>1429</v>
      </c>
      <c r="J100" s="192">
        <f ca="1">NISTMap!M93</f>
        <v>0</v>
      </c>
      <c r="K100" s="188">
        <f>NISTMap!O93</f>
        <v>7</v>
      </c>
      <c r="L100" s="193">
        <f ca="1">NISTMap!P93</f>
        <v>0</v>
      </c>
      <c r="M100" s="194">
        <f>NISTMap!R93</f>
        <v>2</v>
      </c>
      <c r="N100" s="193">
        <f ca="1">NISTMap!S93</f>
        <v>0</v>
      </c>
      <c r="O100" s="195">
        <f>NISTMap!U93</f>
        <v>2</v>
      </c>
      <c r="P100" s="193">
        <f ca="1">NISTMap!V93</f>
        <v>0</v>
      </c>
      <c r="Q100" s="196">
        <f>NISTMap!X93</f>
        <v>3</v>
      </c>
      <c r="R100" s="160"/>
      <c r="S100" s="55"/>
    </row>
    <row r="101" spans="1:19" ht="30" customHeight="1" x14ac:dyDescent="0.25">
      <c r="A101" s="4"/>
      <c r="B101" s="155"/>
      <c r="C101" s="170"/>
      <c r="D101" s="805"/>
      <c r="E101" s="212" t="s">
        <v>1269</v>
      </c>
      <c r="F101" s="177" t="s">
        <v>1430</v>
      </c>
      <c r="G101" s="785" t="s">
        <v>1431</v>
      </c>
      <c r="H101" s="178" t="s">
        <v>1233</v>
      </c>
      <c r="I101" s="179" t="s">
        <v>1432</v>
      </c>
      <c r="J101" s="197">
        <f ca="1">NISTMap!M94</f>
        <v>0</v>
      </c>
      <c r="K101" s="189">
        <f>NISTMap!O94</f>
        <v>2</v>
      </c>
      <c r="L101" s="198">
        <f>NISTMap!P94</f>
        <v>0</v>
      </c>
      <c r="M101" s="199">
        <f>NISTMap!R94</f>
        <v>0</v>
      </c>
      <c r="N101" s="198">
        <f ca="1">NISTMap!S94</f>
        <v>0</v>
      </c>
      <c r="O101" s="200">
        <f>NISTMap!U94</f>
        <v>1</v>
      </c>
      <c r="P101" s="198">
        <f ca="1">NISTMap!V94</f>
        <v>0</v>
      </c>
      <c r="Q101" s="201">
        <f>NISTMap!X94</f>
        <v>1</v>
      </c>
      <c r="R101" s="160"/>
      <c r="S101" s="55"/>
    </row>
    <row r="102" spans="1:19" ht="30" customHeight="1" x14ac:dyDescent="0.25">
      <c r="A102" s="4"/>
      <c r="B102" s="155"/>
      <c r="C102" s="170"/>
      <c r="D102" s="805"/>
      <c r="E102" s="213"/>
      <c r="F102" s="181" t="s">
        <v>1303</v>
      </c>
      <c r="G102" s="784"/>
      <c r="H102" s="182" t="s">
        <v>1234</v>
      </c>
      <c r="I102" s="183" t="s">
        <v>1433</v>
      </c>
      <c r="J102" s="192">
        <f ca="1">NISTMap!M95</f>
        <v>0</v>
      </c>
      <c r="K102" s="188">
        <f>NISTMap!O95</f>
        <v>5</v>
      </c>
      <c r="L102" s="193">
        <f>NISTMap!P95</f>
        <v>0</v>
      </c>
      <c r="M102" s="194">
        <f>NISTMap!R95</f>
        <v>0</v>
      </c>
      <c r="N102" s="193">
        <f ca="1">NISTMap!S95</f>
        <v>0</v>
      </c>
      <c r="O102" s="195">
        <f>NISTMap!U95</f>
        <v>3</v>
      </c>
      <c r="P102" s="193">
        <f ca="1">NISTMap!V95</f>
        <v>0</v>
      </c>
      <c r="Q102" s="196">
        <f>NISTMap!X95</f>
        <v>2</v>
      </c>
      <c r="R102" s="160"/>
      <c r="S102" s="55"/>
    </row>
    <row r="103" spans="1:19" ht="30" customHeight="1" x14ac:dyDescent="0.25">
      <c r="A103" s="4"/>
      <c r="B103" s="155"/>
      <c r="C103" s="170"/>
      <c r="D103" s="805"/>
      <c r="E103" s="213"/>
      <c r="F103" s="181" t="s">
        <v>1303</v>
      </c>
      <c r="G103" s="784"/>
      <c r="H103" s="182" t="s">
        <v>1235</v>
      </c>
      <c r="I103" s="183" t="s">
        <v>1434</v>
      </c>
      <c r="J103" s="192">
        <f ca="1">NISTMap!M96</f>
        <v>0</v>
      </c>
      <c r="K103" s="188">
        <f>NISTMap!O96</f>
        <v>3</v>
      </c>
      <c r="L103" s="193">
        <f>NISTMap!P96</f>
        <v>0</v>
      </c>
      <c r="M103" s="194">
        <f>NISTMap!R96</f>
        <v>0</v>
      </c>
      <c r="N103" s="193">
        <f ca="1">NISTMap!S96</f>
        <v>0</v>
      </c>
      <c r="O103" s="195">
        <f>NISTMap!U96</f>
        <v>1</v>
      </c>
      <c r="P103" s="193">
        <f ca="1">NISTMap!V96</f>
        <v>0</v>
      </c>
      <c r="Q103" s="196">
        <f>NISTMap!X96</f>
        <v>2</v>
      </c>
      <c r="R103" s="160"/>
      <c r="S103" s="55"/>
    </row>
    <row r="104" spans="1:19" ht="30" customHeight="1" x14ac:dyDescent="0.25">
      <c r="A104" s="4"/>
      <c r="B104" s="155"/>
      <c r="C104" s="170"/>
      <c r="D104" s="805"/>
      <c r="E104" s="213"/>
      <c r="F104" s="181" t="s">
        <v>1303</v>
      </c>
      <c r="G104" s="784"/>
      <c r="H104" s="182" t="s">
        <v>1236</v>
      </c>
      <c r="I104" s="183" t="s">
        <v>1435</v>
      </c>
      <c r="J104" s="192">
        <f ca="1">NISTMap!M97</f>
        <v>0</v>
      </c>
      <c r="K104" s="188">
        <f>NISTMap!O97</f>
        <v>4</v>
      </c>
      <c r="L104" s="193">
        <f ca="1">NISTMap!P97</f>
        <v>0</v>
      </c>
      <c r="M104" s="194">
        <f>NISTMap!R97</f>
        <v>1</v>
      </c>
      <c r="N104" s="193">
        <f ca="1">NISTMap!S97</f>
        <v>0</v>
      </c>
      <c r="O104" s="195">
        <f>NISTMap!U97</f>
        <v>2</v>
      </c>
      <c r="P104" s="193">
        <f ca="1">NISTMap!V97</f>
        <v>0</v>
      </c>
      <c r="Q104" s="196">
        <f>NISTMap!X97</f>
        <v>1</v>
      </c>
      <c r="R104" s="160"/>
      <c r="S104" s="55"/>
    </row>
    <row r="105" spans="1:19" ht="60" customHeight="1" x14ac:dyDescent="0.25">
      <c r="A105" s="4"/>
      <c r="B105" s="155"/>
      <c r="C105" s="170"/>
      <c r="D105" s="805"/>
      <c r="E105" s="214"/>
      <c r="F105" s="185" t="s">
        <v>1303</v>
      </c>
      <c r="G105" s="786"/>
      <c r="H105" s="186" t="s">
        <v>1237</v>
      </c>
      <c r="I105" s="187" t="s">
        <v>1436</v>
      </c>
      <c r="J105" s="202">
        <f ca="1">NISTMap!M98</f>
        <v>0</v>
      </c>
      <c r="K105" s="190">
        <f>NISTMap!O98</f>
        <v>11</v>
      </c>
      <c r="L105" s="203">
        <f ca="1">NISTMap!P98</f>
        <v>0</v>
      </c>
      <c r="M105" s="204">
        <f>NISTMap!R98</f>
        <v>4</v>
      </c>
      <c r="N105" s="203">
        <f ca="1">NISTMap!S98</f>
        <v>0</v>
      </c>
      <c r="O105" s="205">
        <f>NISTMap!U98</f>
        <v>3</v>
      </c>
      <c r="P105" s="203">
        <f ca="1">NISTMap!V98</f>
        <v>0</v>
      </c>
      <c r="Q105" s="206">
        <f>NISTMap!X98</f>
        <v>4</v>
      </c>
      <c r="R105" s="160"/>
      <c r="S105" s="55"/>
    </row>
    <row r="106" spans="1:19" ht="30" customHeight="1" x14ac:dyDescent="0.25">
      <c r="A106" s="4"/>
      <c r="B106" s="155"/>
      <c r="C106" s="170"/>
      <c r="D106" s="805"/>
      <c r="E106" s="212" t="s">
        <v>1270</v>
      </c>
      <c r="F106" s="177" t="s">
        <v>1437</v>
      </c>
      <c r="G106" s="785" t="s">
        <v>1438</v>
      </c>
      <c r="H106" s="178" t="s">
        <v>1239</v>
      </c>
      <c r="I106" s="179" t="s">
        <v>1439</v>
      </c>
      <c r="J106" s="197">
        <f ca="1">NISTMap!M99</f>
        <v>0</v>
      </c>
      <c r="K106" s="189">
        <f>NISTMap!O99</f>
        <v>1</v>
      </c>
      <c r="L106" s="198">
        <f ca="1">NISTMap!P99</f>
        <v>0</v>
      </c>
      <c r="M106" s="199">
        <f>NISTMap!R99</f>
        <v>1</v>
      </c>
      <c r="N106" s="198">
        <f>NISTMap!S99</f>
        <v>0</v>
      </c>
      <c r="O106" s="200">
        <f>NISTMap!U99</f>
        <v>0</v>
      </c>
      <c r="P106" s="198">
        <f>NISTMap!V99</f>
        <v>0</v>
      </c>
      <c r="Q106" s="201">
        <f>NISTMap!X99</f>
        <v>0</v>
      </c>
      <c r="R106" s="160"/>
      <c r="S106" s="55"/>
    </row>
    <row r="107" spans="1:19" ht="30" customHeight="1" x14ac:dyDescent="0.25">
      <c r="A107" s="4"/>
      <c r="B107" s="155"/>
      <c r="C107" s="170"/>
      <c r="D107" s="805"/>
      <c r="E107" s="213"/>
      <c r="F107" s="181" t="s">
        <v>1303</v>
      </c>
      <c r="G107" s="784"/>
      <c r="H107" s="182" t="s">
        <v>1241</v>
      </c>
      <c r="I107" s="183" t="s">
        <v>1440</v>
      </c>
      <c r="J107" s="192">
        <f ca="1">NISTMap!M100</f>
        <v>0</v>
      </c>
      <c r="K107" s="188">
        <f>NISTMap!O100</f>
        <v>1</v>
      </c>
      <c r="L107" s="193">
        <f ca="1">NISTMap!P100</f>
        <v>0</v>
      </c>
      <c r="M107" s="194">
        <f>NISTMap!R100</f>
        <v>1</v>
      </c>
      <c r="N107" s="193">
        <f>NISTMap!S100</f>
        <v>0</v>
      </c>
      <c r="O107" s="195">
        <f>NISTMap!U100</f>
        <v>0</v>
      </c>
      <c r="P107" s="193">
        <f>NISTMap!V100</f>
        <v>0</v>
      </c>
      <c r="Q107" s="196">
        <f>NISTMap!X100</f>
        <v>0</v>
      </c>
      <c r="R107" s="160"/>
      <c r="S107" s="55"/>
    </row>
    <row r="108" spans="1:19" ht="30" customHeight="1" x14ac:dyDescent="0.25">
      <c r="A108" s="4"/>
      <c r="B108" s="155"/>
      <c r="C108" s="170"/>
      <c r="D108" s="805"/>
      <c r="E108" s="214"/>
      <c r="F108" s="185" t="s">
        <v>1303</v>
      </c>
      <c r="G108" s="786"/>
      <c r="H108" s="186" t="s">
        <v>1242</v>
      </c>
      <c r="I108" s="187" t="s">
        <v>1441</v>
      </c>
      <c r="J108" s="202">
        <f ca="1">NISTMap!M101</f>
        <v>0</v>
      </c>
      <c r="K108" s="190">
        <f>NISTMap!O101</f>
        <v>5</v>
      </c>
      <c r="L108" s="203">
        <f ca="1">NISTMap!P101</f>
        <v>0</v>
      </c>
      <c r="M108" s="204">
        <f>NISTMap!R101</f>
        <v>1</v>
      </c>
      <c r="N108" s="203">
        <f ca="1">NISTMap!S101</f>
        <v>0</v>
      </c>
      <c r="O108" s="205">
        <f>NISTMap!U101</f>
        <v>2</v>
      </c>
      <c r="P108" s="203">
        <f ca="1">NISTMap!V101</f>
        <v>0</v>
      </c>
      <c r="Q108" s="206">
        <f>NISTMap!X101</f>
        <v>2</v>
      </c>
      <c r="R108" s="160"/>
      <c r="S108" s="55"/>
    </row>
    <row r="109" spans="1:19" ht="30" customHeight="1" x14ac:dyDescent="0.25">
      <c r="A109" s="4"/>
      <c r="B109" s="155"/>
      <c r="C109" s="170"/>
      <c r="D109" s="805"/>
      <c r="E109" s="180" t="s">
        <v>1271</v>
      </c>
      <c r="F109" s="181" t="s">
        <v>1442</v>
      </c>
      <c r="G109" s="784" t="s">
        <v>1443</v>
      </c>
      <c r="H109" s="182" t="s">
        <v>1243</v>
      </c>
      <c r="I109" s="183" t="s">
        <v>1444</v>
      </c>
      <c r="J109" s="192">
        <f ca="1">NISTMap!M102</f>
        <v>0</v>
      </c>
      <c r="K109" s="188">
        <f>NISTMap!O102</f>
        <v>1</v>
      </c>
      <c r="L109" s="193">
        <f>NISTMap!P102</f>
        <v>0</v>
      </c>
      <c r="M109" s="194">
        <f>NISTMap!R102</f>
        <v>0</v>
      </c>
      <c r="N109" s="193">
        <f>NISTMap!S102</f>
        <v>0</v>
      </c>
      <c r="O109" s="195">
        <f>NISTMap!U102</f>
        <v>0</v>
      </c>
      <c r="P109" s="193">
        <f ca="1">NISTMap!V102</f>
        <v>0</v>
      </c>
      <c r="Q109" s="196">
        <f>NISTMap!X102</f>
        <v>1</v>
      </c>
      <c r="R109" s="160"/>
      <c r="S109" s="55"/>
    </row>
    <row r="110" spans="1:19" ht="30" customHeight="1" x14ac:dyDescent="0.25">
      <c r="A110" s="4"/>
      <c r="B110" s="155"/>
      <c r="C110" s="170"/>
      <c r="D110" s="805"/>
      <c r="E110" s="184"/>
      <c r="F110" s="185" t="s">
        <v>1303</v>
      </c>
      <c r="G110" s="786"/>
      <c r="H110" s="186" t="s">
        <v>1244</v>
      </c>
      <c r="I110" s="187" t="s">
        <v>1445</v>
      </c>
      <c r="J110" s="192">
        <f ca="1">NISTMap!M103</f>
        <v>0</v>
      </c>
      <c r="K110" s="188">
        <f>NISTMap!O103</f>
        <v>1</v>
      </c>
      <c r="L110" s="193">
        <f>NISTMap!P103</f>
        <v>0</v>
      </c>
      <c r="M110" s="194">
        <f>NISTMap!R103</f>
        <v>0</v>
      </c>
      <c r="N110" s="193">
        <f>NISTMap!S103</f>
        <v>0</v>
      </c>
      <c r="O110" s="195">
        <f>NISTMap!U103</f>
        <v>0</v>
      </c>
      <c r="P110" s="193">
        <f ca="1">NISTMap!V103</f>
        <v>0</v>
      </c>
      <c r="Q110" s="196">
        <f>NISTMap!X103</f>
        <v>1</v>
      </c>
      <c r="R110" s="160"/>
      <c r="S110" s="55"/>
    </row>
    <row r="111" spans="1:19" ht="30" customHeight="1" x14ac:dyDescent="0.25">
      <c r="A111" s="4"/>
      <c r="B111" s="155"/>
      <c r="C111" s="170"/>
      <c r="D111" s="800" t="s">
        <v>1446</v>
      </c>
      <c r="E111" s="180" t="s">
        <v>1272</v>
      </c>
      <c r="F111" s="181" t="s">
        <v>1447</v>
      </c>
      <c r="G111" s="181" t="s">
        <v>1448</v>
      </c>
      <c r="H111" s="182" t="s">
        <v>1245</v>
      </c>
      <c r="I111" s="183" t="s">
        <v>1449</v>
      </c>
      <c r="J111" s="192">
        <f ca="1">NISTMap!M104</f>
        <v>0</v>
      </c>
      <c r="K111" s="188">
        <f>NISTMap!O104</f>
        <v>5</v>
      </c>
      <c r="L111" s="193">
        <f ca="1">NISTMap!P104</f>
        <v>0</v>
      </c>
      <c r="M111" s="194">
        <f>NISTMap!R104</f>
        <v>1</v>
      </c>
      <c r="N111" s="193">
        <f ca="1">NISTMap!S104</f>
        <v>0</v>
      </c>
      <c r="O111" s="195">
        <f>NISTMap!U104</f>
        <v>3</v>
      </c>
      <c r="P111" s="193">
        <f ca="1">NISTMap!V104</f>
        <v>0</v>
      </c>
      <c r="Q111" s="196">
        <f>NISTMap!X104</f>
        <v>1</v>
      </c>
      <c r="R111" s="160"/>
      <c r="S111" s="55"/>
    </row>
    <row r="112" spans="1:19" ht="30" customHeight="1" x14ac:dyDescent="0.25">
      <c r="A112" s="4"/>
      <c r="B112" s="155"/>
      <c r="C112" s="170"/>
      <c r="D112" s="801"/>
      <c r="E112" s="212" t="s">
        <v>1273</v>
      </c>
      <c r="F112" s="177" t="s">
        <v>1442</v>
      </c>
      <c r="G112" s="785" t="s">
        <v>1450</v>
      </c>
      <c r="H112" s="178" t="s">
        <v>1246</v>
      </c>
      <c r="I112" s="179" t="s">
        <v>1451</v>
      </c>
      <c r="J112" s="197">
        <f ca="1">NISTMap!M105</f>
        <v>0</v>
      </c>
      <c r="K112" s="189">
        <f>NISTMap!O105</f>
        <v>3</v>
      </c>
      <c r="L112" s="198">
        <f>NISTMap!P105</f>
        <v>0</v>
      </c>
      <c r="M112" s="199">
        <f>NISTMap!R105</f>
        <v>0</v>
      </c>
      <c r="N112" s="198">
        <f>NISTMap!S105</f>
        <v>0</v>
      </c>
      <c r="O112" s="200">
        <f>NISTMap!U105</f>
        <v>0</v>
      </c>
      <c r="P112" s="198">
        <f ca="1">NISTMap!V105</f>
        <v>0</v>
      </c>
      <c r="Q112" s="201">
        <f>NISTMap!X105</f>
        <v>3</v>
      </c>
      <c r="R112" s="160"/>
      <c r="S112" s="55"/>
    </row>
    <row r="113" spans="1:19" ht="30" customHeight="1" x14ac:dyDescent="0.25">
      <c r="A113" s="4"/>
      <c r="B113" s="155"/>
      <c r="C113" s="170"/>
      <c r="D113" s="801"/>
      <c r="E113" s="214"/>
      <c r="F113" s="185" t="s">
        <v>1303</v>
      </c>
      <c r="G113" s="786"/>
      <c r="H113" s="186" t="s">
        <v>1247</v>
      </c>
      <c r="I113" s="187" t="s">
        <v>1452</v>
      </c>
      <c r="J113" s="202">
        <f ca="1">NISTMap!M106</f>
        <v>0</v>
      </c>
      <c r="K113" s="190">
        <f>NISTMap!O106</f>
        <v>1</v>
      </c>
      <c r="L113" s="203">
        <f>NISTMap!P106</f>
        <v>0</v>
      </c>
      <c r="M113" s="204">
        <f>NISTMap!R106</f>
        <v>0</v>
      </c>
      <c r="N113" s="203">
        <f>NISTMap!S106</f>
        <v>0</v>
      </c>
      <c r="O113" s="205">
        <f>NISTMap!U106</f>
        <v>0</v>
      </c>
      <c r="P113" s="203">
        <f ca="1">NISTMap!V106</f>
        <v>0</v>
      </c>
      <c r="Q113" s="206">
        <f>NISTMap!X106</f>
        <v>1</v>
      </c>
      <c r="R113" s="160"/>
      <c r="S113" s="55"/>
    </row>
    <row r="114" spans="1:19" ht="30" customHeight="1" x14ac:dyDescent="0.25">
      <c r="A114" s="4"/>
      <c r="B114" s="155"/>
      <c r="C114" s="170"/>
      <c r="D114" s="801"/>
      <c r="E114" s="180" t="s">
        <v>1274</v>
      </c>
      <c r="F114" s="181" t="s">
        <v>1423</v>
      </c>
      <c r="G114" s="784" t="s">
        <v>1453</v>
      </c>
      <c r="H114" s="182" t="s">
        <v>1248</v>
      </c>
      <c r="I114" s="183" t="s">
        <v>1454</v>
      </c>
      <c r="J114" s="192">
        <f ca="1">NISTMap!M107</f>
        <v>0</v>
      </c>
      <c r="K114" s="188">
        <f>NISTMap!O107</f>
        <v>1</v>
      </c>
      <c r="L114" s="193">
        <f>NISTMap!P107</f>
        <v>0</v>
      </c>
      <c r="M114" s="194">
        <f>NISTMap!R107</f>
        <v>0</v>
      </c>
      <c r="N114" s="193">
        <f>NISTMap!S107</f>
        <v>0</v>
      </c>
      <c r="O114" s="195">
        <f>NISTMap!U107</f>
        <v>0</v>
      </c>
      <c r="P114" s="193">
        <f ca="1">NISTMap!V107</f>
        <v>0</v>
      </c>
      <c r="Q114" s="196">
        <f>NISTMap!X107</f>
        <v>1</v>
      </c>
      <c r="R114" s="160"/>
      <c r="S114" s="55"/>
    </row>
    <row r="115" spans="1:19" ht="30" customHeight="1" x14ac:dyDescent="0.25">
      <c r="A115" s="4"/>
      <c r="B115" s="155"/>
      <c r="C115" s="170"/>
      <c r="D115" s="801"/>
      <c r="E115" s="180"/>
      <c r="F115" s="181" t="s">
        <v>1303</v>
      </c>
      <c r="G115" s="784"/>
      <c r="H115" s="182" t="s">
        <v>1249</v>
      </c>
      <c r="I115" s="183" t="s">
        <v>1455</v>
      </c>
      <c r="J115" s="192">
        <f ca="1">NISTMap!M108</f>
        <v>0</v>
      </c>
      <c r="K115" s="188">
        <f>NISTMap!O108</f>
        <v>1</v>
      </c>
      <c r="L115" s="193">
        <f>NISTMap!P108</f>
        <v>0</v>
      </c>
      <c r="M115" s="194">
        <f>NISTMap!R108</f>
        <v>0</v>
      </c>
      <c r="N115" s="193">
        <f ca="1">NISTMap!S108</f>
        <v>0</v>
      </c>
      <c r="O115" s="195">
        <f>NISTMap!U108</f>
        <v>1</v>
      </c>
      <c r="P115" s="193">
        <f>NISTMap!V108</f>
        <v>0</v>
      </c>
      <c r="Q115" s="196">
        <f>NISTMap!X108</f>
        <v>0</v>
      </c>
      <c r="R115" s="160"/>
      <c r="S115" s="55"/>
    </row>
    <row r="116" spans="1:19" ht="30" customHeight="1" thickBot="1" x14ac:dyDescent="0.3">
      <c r="A116" s="4"/>
      <c r="B116" s="155"/>
      <c r="C116" s="171"/>
      <c r="D116" s="801"/>
      <c r="E116" s="184"/>
      <c r="F116" s="185" t="s">
        <v>1303</v>
      </c>
      <c r="G116" s="786"/>
      <c r="H116" s="186" t="s">
        <v>1250</v>
      </c>
      <c r="I116" s="187" t="s">
        <v>1456</v>
      </c>
      <c r="J116" s="207">
        <f ca="1">NISTMap!M109</f>
        <v>0</v>
      </c>
      <c r="K116" s="191">
        <f>NISTMap!O109</f>
        <v>2</v>
      </c>
      <c r="L116" s="208">
        <f>NISTMap!P109</f>
        <v>0</v>
      </c>
      <c r="M116" s="209">
        <f>NISTMap!R109</f>
        <v>0</v>
      </c>
      <c r="N116" s="208">
        <f ca="1">NISTMap!S109</f>
        <v>0</v>
      </c>
      <c r="O116" s="210">
        <f>NISTMap!U109</f>
        <v>2</v>
      </c>
      <c r="P116" s="208">
        <f>NISTMap!V109</f>
        <v>0</v>
      </c>
      <c r="Q116" s="211">
        <f>NISTMap!X109</f>
        <v>0</v>
      </c>
      <c r="R116" s="160"/>
      <c r="S116" s="55"/>
    </row>
    <row r="117" spans="1:19" ht="13.5" x14ac:dyDescent="0.25">
      <c r="A117" s="21"/>
      <c r="B117" s="164"/>
      <c r="C117" s="165"/>
      <c r="D117" s="165"/>
      <c r="E117" s="165"/>
      <c r="F117" s="165"/>
      <c r="G117" s="165"/>
      <c r="H117" s="165"/>
      <c r="I117" s="165"/>
      <c r="J117" s="165"/>
      <c r="K117" s="165"/>
      <c r="L117" s="165"/>
      <c r="M117" s="165"/>
      <c r="N117" s="165"/>
      <c r="O117" s="165"/>
      <c r="P117" s="165"/>
      <c r="Q117" s="165"/>
      <c r="R117" s="163"/>
      <c r="S117" s="21"/>
    </row>
    <row r="118" spans="1:19" ht="13.5" x14ac:dyDescent="0.25">
      <c r="A118" s="21"/>
      <c r="B118" s="21"/>
      <c r="C118" s="21"/>
      <c r="D118" s="21"/>
      <c r="E118" s="21"/>
      <c r="F118" s="21"/>
      <c r="G118" s="21"/>
      <c r="H118" s="21"/>
      <c r="I118" s="21"/>
      <c r="J118" s="21"/>
      <c r="K118" s="21"/>
      <c r="L118" s="21"/>
      <c r="M118" s="21"/>
      <c r="N118" s="21"/>
      <c r="O118" s="21"/>
      <c r="P118" s="21"/>
      <c r="Q118" s="21"/>
      <c r="R118" s="21"/>
      <c r="S118" s="21"/>
    </row>
  </sheetData>
  <sheetProtection sheet="1" objects="1" scenarios="1"/>
  <mergeCells count="32">
    <mergeCell ref="L8:M8"/>
    <mergeCell ref="N8:O8"/>
    <mergeCell ref="P8:Q8"/>
    <mergeCell ref="D111:D116"/>
    <mergeCell ref="G112:G113"/>
    <mergeCell ref="G114:G116"/>
    <mergeCell ref="D77:D94"/>
    <mergeCell ref="G77:G81"/>
    <mergeCell ref="G82:G89"/>
    <mergeCell ref="G90:G94"/>
    <mergeCell ref="D95:D110"/>
    <mergeCell ref="G96:G100"/>
    <mergeCell ref="G101:G105"/>
    <mergeCell ref="G106:G108"/>
    <mergeCell ref="G109:G110"/>
    <mergeCell ref="D38:D76"/>
    <mergeCell ref="G70:G71"/>
    <mergeCell ref="G72:G76"/>
    <mergeCell ref="D7:I7"/>
    <mergeCell ref="J7:Q7"/>
    <mergeCell ref="D9:D37"/>
    <mergeCell ref="G9:G14"/>
    <mergeCell ref="G15:G19"/>
    <mergeCell ref="G20:G23"/>
    <mergeCell ref="G24:G29"/>
    <mergeCell ref="G30:G32"/>
    <mergeCell ref="G33:G37"/>
    <mergeCell ref="G38:G44"/>
    <mergeCell ref="G45:G49"/>
    <mergeCell ref="G50:G57"/>
    <mergeCell ref="G58:G67"/>
    <mergeCell ref="G68:G69"/>
  </mergeCells>
  <conditionalFormatting sqref="J37:J116">
    <cfRule type="colorScale" priority="13">
      <colorScale>
        <cfvo type="num" val="0"/>
        <cfvo type="num" val="0.5"/>
        <cfvo type="num" val="1"/>
        <color rgb="FFFF7128"/>
        <color rgb="FFFFEB84"/>
        <color rgb="FF92D050"/>
      </colorScale>
    </cfRule>
  </conditionalFormatting>
  <conditionalFormatting sqref="L37:L116 N37:N116 P37:P116">
    <cfRule type="colorScale" priority="12">
      <colorScale>
        <cfvo type="num" val="0"/>
        <cfvo type="num" val="3.472222222222222E-3"/>
        <cfvo type="num" val="1"/>
        <color rgb="FFFF7128"/>
        <color rgb="FFFFEB84"/>
        <color rgb="FF92D050"/>
      </colorScale>
    </cfRule>
  </conditionalFormatting>
  <conditionalFormatting sqref="J9:J36">
    <cfRule type="colorScale" priority="2">
      <colorScale>
        <cfvo type="num" val="0"/>
        <cfvo type="num" val="0.5"/>
        <cfvo type="num" val="1"/>
        <color rgb="FFFF7128"/>
        <color rgb="FFFFEB84"/>
        <color rgb="FF92D050"/>
      </colorScale>
    </cfRule>
  </conditionalFormatting>
  <conditionalFormatting sqref="L9:L36 N9:N36 P9:P36">
    <cfRule type="colorScale" priority="1">
      <colorScale>
        <cfvo type="num" val="0"/>
        <cfvo type="num" val="3.472222222222222E-3"/>
        <cfvo type="num" val="1"/>
        <color rgb="FFFF7128"/>
        <color rgb="FFFFEB84"/>
        <color rgb="FF92D050"/>
      </colorScale>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514"/>
  <sheetViews>
    <sheetView zoomScaleNormal="100" workbookViewId="0">
      <selection activeCell="C325" sqref="C325"/>
    </sheetView>
  </sheetViews>
  <sheetFormatPr defaultRowHeight="11.5" x14ac:dyDescent="0.25"/>
  <cols>
    <col min="1" max="1" width="15.7109375" style="49" bestFit="1" customWidth="1"/>
    <col min="2" max="2" width="55.85546875" style="49" customWidth="1"/>
    <col min="3" max="3" width="56" style="49" customWidth="1"/>
    <col min="4" max="4" width="75.640625" style="53" customWidth="1"/>
    <col min="5" max="7" width="17.42578125" style="49" customWidth="1"/>
    <col min="8" max="16384" width="9.140625" style="49"/>
  </cols>
  <sheetData>
    <row r="1" spans="1:5" x14ac:dyDescent="0.25">
      <c r="A1" s="107" t="s">
        <v>452</v>
      </c>
      <c r="B1" s="105" t="s">
        <v>1276</v>
      </c>
      <c r="C1" s="105" t="s">
        <v>1275</v>
      </c>
      <c r="D1" s="105" t="s">
        <v>1277</v>
      </c>
      <c r="E1" s="724" t="s">
        <v>2638</v>
      </c>
    </row>
    <row r="2" spans="1:5" x14ac:dyDescent="0.25">
      <c r="A2" s="257" t="s">
        <v>64</v>
      </c>
      <c r="B2" s="49" t="s">
        <v>562</v>
      </c>
      <c r="C2" s="105" t="s">
        <v>1623</v>
      </c>
      <c r="D2" s="106" t="s">
        <v>1852</v>
      </c>
    </row>
    <row r="3" spans="1:5" ht="69" x14ac:dyDescent="0.25">
      <c r="A3" s="257" t="s">
        <v>563</v>
      </c>
      <c r="B3" s="49" t="s">
        <v>564</v>
      </c>
      <c r="C3" s="49" t="s">
        <v>2534</v>
      </c>
      <c r="D3" s="106" t="s">
        <v>1853</v>
      </c>
    </row>
    <row r="4" spans="1:5" x14ac:dyDescent="0.25">
      <c r="A4" s="257" t="s">
        <v>66</v>
      </c>
      <c r="B4" s="49" t="s">
        <v>565</v>
      </c>
      <c r="C4" s="105" t="s">
        <v>2391</v>
      </c>
      <c r="D4" s="106" t="s">
        <v>1854</v>
      </c>
    </row>
    <row r="5" spans="1:5" ht="92" x14ac:dyDescent="0.25">
      <c r="A5" s="257" t="s">
        <v>566</v>
      </c>
      <c r="B5" s="49" t="s">
        <v>567</v>
      </c>
      <c r="C5" s="49" t="s">
        <v>2535</v>
      </c>
      <c r="D5" s="106" t="s">
        <v>1855</v>
      </c>
    </row>
    <row r="6" spans="1:5" ht="34.5" x14ac:dyDescent="0.25">
      <c r="A6" s="257" t="s">
        <v>161</v>
      </c>
      <c r="B6" s="49" t="s">
        <v>568</v>
      </c>
      <c r="C6" s="49" t="s">
        <v>2536</v>
      </c>
      <c r="D6" s="106" t="s">
        <v>1856</v>
      </c>
    </row>
    <row r="7" spans="1:5" ht="34.5" x14ac:dyDescent="0.25">
      <c r="A7" s="257" t="s">
        <v>163</v>
      </c>
      <c r="B7" s="49" t="s">
        <v>569</v>
      </c>
      <c r="C7" s="49" t="s">
        <v>2392</v>
      </c>
      <c r="D7" s="106" t="s">
        <v>1857</v>
      </c>
    </row>
    <row r="8" spans="1:5" ht="23" x14ac:dyDescent="0.25">
      <c r="A8" s="257" t="s">
        <v>164</v>
      </c>
      <c r="B8" s="49" t="s">
        <v>570</v>
      </c>
      <c r="C8" s="49" t="s">
        <v>1664</v>
      </c>
      <c r="D8" s="106" t="s">
        <v>1858</v>
      </c>
    </row>
    <row r="9" spans="1:5" ht="23" x14ac:dyDescent="0.25">
      <c r="A9" s="257" t="s">
        <v>165</v>
      </c>
      <c r="B9" s="49" t="s">
        <v>571</v>
      </c>
      <c r="C9" s="49" t="s">
        <v>2393</v>
      </c>
      <c r="D9" s="106" t="s">
        <v>1859</v>
      </c>
    </row>
    <row r="10" spans="1:5" ht="34.5" x14ac:dyDescent="0.25">
      <c r="A10" s="257" t="s">
        <v>166</v>
      </c>
      <c r="B10" s="49" t="s">
        <v>572</v>
      </c>
      <c r="C10" s="49" t="s">
        <v>2394</v>
      </c>
      <c r="D10" s="106" t="s">
        <v>1860</v>
      </c>
    </row>
    <row r="11" spans="1:5" ht="23" x14ac:dyDescent="0.25">
      <c r="A11" s="257" t="s">
        <v>167</v>
      </c>
      <c r="B11" s="49" t="s">
        <v>573</v>
      </c>
      <c r="C11" s="49" t="s">
        <v>1750</v>
      </c>
      <c r="D11" s="106" t="s">
        <v>1861</v>
      </c>
    </row>
    <row r="12" spans="1:5" ht="46" x14ac:dyDescent="0.25">
      <c r="A12" s="257" t="s">
        <v>168</v>
      </c>
      <c r="B12" s="49" t="s">
        <v>574</v>
      </c>
      <c r="C12" s="49" t="s">
        <v>2396</v>
      </c>
      <c r="D12" s="106" t="s">
        <v>1862</v>
      </c>
    </row>
    <row r="13" spans="1:5" x14ac:dyDescent="0.25">
      <c r="A13" s="257" t="s">
        <v>68</v>
      </c>
      <c r="B13" s="49" t="s">
        <v>575</v>
      </c>
      <c r="C13" s="105" t="s">
        <v>1624</v>
      </c>
      <c r="D13" s="106" t="s">
        <v>1863</v>
      </c>
    </row>
    <row r="14" spans="1:5" ht="126.5" x14ac:dyDescent="0.25">
      <c r="A14" s="257" t="s">
        <v>576</v>
      </c>
      <c r="B14" s="49" t="s">
        <v>577</v>
      </c>
      <c r="C14" s="49" t="s">
        <v>2537</v>
      </c>
      <c r="D14" s="106" t="s">
        <v>1864</v>
      </c>
    </row>
    <row r="15" spans="1:5" ht="46" x14ac:dyDescent="0.25">
      <c r="A15" s="257" t="s">
        <v>169</v>
      </c>
      <c r="B15" s="49" t="s">
        <v>578</v>
      </c>
      <c r="C15" s="49" t="s">
        <v>2395</v>
      </c>
      <c r="D15" s="106" t="s">
        <v>1865</v>
      </c>
    </row>
    <row r="16" spans="1:5" ht="23" x14ac:dyDescent="0.25">
      <c r="A16" s="257" t="s">
        <v>170</v>
      </c>
      <c r="B16" s="49" t="s">
        <v>579</v>
      </c>
      <c r="C16" s="49" t="s">
        <v>2538</v>
      </c>
      <c r="D16" s="106" t="s">
        <v>1866</v>
      </c>
    </row>
    <row r="17" spans="1:4" ht="23" x14ac:dyDescent="0.25">
      <c r="A17" s="257" t="s">
        <v>171</v>
      </c>
      <c r="B17" s="49" t="s">
        <v>580</v>
      </c>
      <c r="C17" s="49" t="s">
        <v>1665</v>
      </c>
      <c r="D17" s="106" t="s">
        <v>1867</v>
      </c>
    </row>
    <row r="18" spans="1:4" ht="23" x14ac:dyDescent="0.25">
      <c r="A18" s="257" t="s">
        <v>172</v>
      </c>
      <c r="B18" s="49" t="s">
        <v>581</v>
      </c>
      <c r="C18" s="49" t="s">
        <v>1667</v>
      </c>
      <c r="D18" s="106" t="s">
        <v>1868</v>
      </c>
    </row>
    <row r="19" spans="1:4" x14ac:dyDescent="0.25">
      <c r="A19" s="257" t="s">
        <v>173</v>
      </c>
      <c r="B19" s="49" t="s">
        <v>582</v>
      </c>
      <c r="C19" s="49" t="s">
        <v>1668</v>
      </c>
      <c r="D19" s="106" t="s">
        <v>1869</v>
      </c>
    </row>
    <row r="20" spans="1:4" ht="34.5" x14ac:dyDescent="0.25">
      <c r="A20" s="257" t="s">
        <v>174</v>
      </c>
      <c r="B20" s="49" t="s">
        <v>1622</v>
      </c>
      <c r="C20" s="49" t="s">
        <v>583</v>
      </c>
      <c r="D20" s="106" t="s">
        <v>1870</v>
      </c>
    </row>
    <row r="21" spans="1:4" s="53" customFormat="1" ht="34.5" x14ac:dyDescent="0.25">
      <c r="A21" s="257" t="s">
        <v>175</v>
      </c>
      <c r="B21" s="49" t="s">
        <v>584</v>
      </c>
      <c r="C21" s="49" t="s">
        <v>2539</v>
      </c>
      <c r="D21" s="106" t="s">
        <v>1871</v>
      </c>
    </row>
    <row r="22" spans="1:4" ht="23" x14ac:dyDescent="0.25">
      <c r="A22" s="257" t="s">
        <v>177</v>
      </c>
      <c r="B22" s="49" t="s">
        <v>585</v>
      </c>
      <c r="C22" s="49" t="s">
        <v>1669</v>
      </c>
      <c r="D22" s="106" t="s">
        <v>2223</v>
      </c>
    </row>
    <row r="23" spans="1:4" s="53" customFormat="1" x14ac:dyDescent="0.25">
      <c r="A23" s="257" t="s">
        <v>71</v>
      </c>
      <c r="B23" s="49" t="s">
        <v>481</v>
      </c>
      <c r="C23" s="105" t="s">
        <v>1758</v>
      </c>
      <c r="D23" s="106" t="s">
        <v>1872</v>
      </c>
    </row>
    <row r="24" spans="1:4" ht="69" x14ac:dyDescent="0.25">
      <c r="A24" s="257" t="s">
        <v>586</v>
      </c>
      <c r="B24" s="49" t="s">
        <v>483</v>
      </c>
      <c r="C24" s="49" t="s">
        <v>2565</v>
      </c>
      <c r="D24" s="106" t="s">
        <v>1873</v>
      </c>
    </row>
    <row r="25" spans="1:4" ht="23" x14ac:dyDescent="0.25">
      <c r="A25" s="257" t="s">
        <v>179</v>
      </c>
      <c r="B25" s="49" t="s">
        <v>587</v>
      </c>
      <c r="C25" s="49" t="s">
        <v>1759</v>
      </c>
      <c r="D25" s="106" t="s">
        <v>1874</v>
      </c>
    </row>
    <row r="26" spans="1:4" ht="23" x14ac:dyDescent="0.25">
      <c r="A26" s="257" t="s">
        <v>180</v>
      </c>
      <c r="B26" s="49" t="s">
        <v>588</v>
      </c>
      <c r="C26" s="49" t="s">
        <v>1761</v>
      </c>
      <c r="D26" s="106" t="s">
        <v>1875</v>
      </c>
    </row>
    <row r="27" spans="1:4" ht="23" x14ac:dyDescent="0.25">
      <c r="A27" s="257" t="s">
        <v>181</v>
      </c>
      <c r="B27" s="49" t="s">
        <v>589</v>
      </c>
      <c r="C27" s="49" t="s">
        <v>1760</v>
      </c>
      <c r="D27" s="106" t="s">
        <v>1876</v>
      </c>
    </row>
    <row r="28" spans="1:4" ht="23" x14ac:dyDescent="0.25">
      <c r="A28" s="257" t="s">
        <v>182</v>
      </c>
      <c r="B28" s="49" t="s">
        <v>590</v>
      </c>
      <c r="C28" s="49" t="s">
        <v>2323</v>
      </c>
      <c r="D28" s="106" t="s">
        <v>1877</v>
      </c>
    </row>
    <row r="29" spans="1:4" ht="34.5" x14ac:dyDescent="0.25">
      <c r="A29" s="257" t="s">
        <v>183</v>
      </c>
      <c r="B29" s="49" t="s">
        <v>591</v>
      </c>
      <c r="C29" s="49" t="s">
        <v>2333</v>
      </c>
      <c r="D29" s="106" t="s">
        <v>1878</v>
      </c>
    </row>
    <row r="30" spans="1:4" ht="23" x14ac:dyDescent="0.25">
      <c r="A30" s="257" t="s">
        <v>184</v>
      </c>
      <c r="B30" s="49" t="s">
        <v>592</v>
      </c>
      <c r="C30" s="49" t="s">
        <v>1762</v>
      </c>
      <c r="D30" s="106" t="s">
        <v>1879</v>
      </c>
    </row>
    <row r="31" spans="1:4" ht="23" x14ac:dyDescent="0.25">
      <c r="A31" s="257" t="s">
        <v>185</v>
      </c>
      <c r="B31" s="49" t="s">
        <v>593</v>
      </c>
      <c r="C31" s="49" t="s">
        <v>2343</v>
      </c>
      <c r="D31" s="106" t="s">
        <v>1880</v>
      </c>
    </row>
    <row r="32" spans="1:4" s="53" customFormat="1" x14ac:dyDescent="0.25">
      <c r="A32" s="257" t="s">
        <v>83</v>
      </c>
      <c r="B32" s="49" t="s">
        <v>631</v>
      </c>
      <c r="C32" s="105" t="s">
        <v>632</v>
      </c>
      <c r="D32" s="106" t="s">
        <v>1881</v>
      </c>
    </row>
    <row r="33" spans="1:4" ht="69" x14ac:dyDescent="0.25">
      <c r="A33" s="257" t="s">
        <v>633</v>
      </c>
      <c r="B33" s="49" t="s">
        <v>634</v>
      </c>
      <c r="C33" s="49" t="s">
        <v>2540</v>
      </c>
      <c r="D33" s="106" t="s">
        <v>1882</v>
      </c>
    </row>
    <row r="34" spans="1:4" x14ac:dyDescent="0.25">
      <c r="A34" s="257" t="s">
        <v>124</v>
      </c>
      <c r="B34" s="49" t="s">
        <v>635</v>
      </c>
      <c r="C34" s="105" t="s">
        <v>2437</v>
      </c>
      <c r="D34" s="106" t="s">
        <v>1883</v>
      </c>
    </row>
    <row r="35" spans="1:4" ht="126.5" x14ac:dyDescent="0.25">
      <c r="A35" s="257" t="s">
        <v>636</v>
      </c>
      <c r="B35" s="49" t="s">
        <v>971</v>
      </c>
      <c r="C35" s="49" t="s">
        <v>2541</v>
      </c>
      <c r="D35" s="106" t="s">
        <v>1884</v>
      </c>
    </row>
    <row r="36" spans="1:4" ht="34.5" x14ac:dyDescent="0.25">
      <c r="A36" s="257" t="s">
        <v>349</v>
      </c>
      <c r="B36" s="49" t="s">
        <v>637</v>
      </c>
      <c r="C36" s="49" t="s">
        <v>1670</v>
      </c>
      <c r="D36" s="106" t="s">
        <v>1885</v>
      </c>
    </row>
    <row r="37" spans="1:4" ht="46" x14ac:dyDescent="0.25">
      <c r="A37" s="257" t="s">
        <v>350</v>
      </c>
      <c r="B37" s="49" t="s">
        <v>638</v>
      </c>
      <c r="C37" s="49" t="s">
        <v>1672</v>
      </c>
      <c r="D37" s="106" t="s">
        <v>1886</v>
      </c>
    </row>
    <row r="38" spans="1:4" ht="34.5" x14ac:dyDescent="0.25">
      <c r="A38" s="257" t="s">
        <v>351</v>
      </c>
      <c r="B38" s="49" t="s">
        <v>639</v>
      </c>
      <c r="C38" s="49" t="s">
        <v>1671</v>
      </c>
      <c r="D38" s="106" t="s">
        <v>1887</v>
      </c>
    </row>
    <row r="39" spans="1:4" ht="46" x14ac:dyDescent="0.25">
      <c r="A39" s="257" t="s">
        <v>352</v>
      </c>
      <c r="B39" s="49" t="s">
        <v>640</v>
      </c>
      <c r="C39" s="49" t="s">
        <v>2438</v>
      </c>
      <c r="D39" s="106" t="s">
        <v>1888</v>
      </c>
    </row>
    <row r="40" spans="1:4" ht="23" x14ac:dyDescent="0.25">
      <c r="A40" s="257" t="s">
        <v>353</v>
      </c>
      <c r="B40" s="49" t="s">
        <v>641</v>
      </c>
      <c r="C40" s="49" t="s">
        <v>1673</v>
      </c>
      <c r="D40" s="106" t="s">
        <v>1889</v>
      </c>
    </row>
    <row r="41" spans="1:4" ht="34.5" x14ac:dyDescent="0.25">
      <c r="A41" s="257" t="s">
        <v>354</v>
      </c>
      <c r="B41" s="49" t="s">
        <v>642</v>
      </c>
      <c r="C41" s="49" t="s">
        <v>2542</v>
      </c>
      <c r="D41" s="106" t="s">
        <v>1890</v>
      </c>
    </row>
    <row r="42" spans="1:4" s="53" customFormat="1" ht="34.5" x14ac:dyDescent="0.25">
      <c r="A42" s="257" t="s">
        <v>355</v>
      </c>
      <c r="B42" s="49" t="s">
        <v>643</v>
      </c>
      <c r="C42" s="49" t="s">
        <v>2543</v>
      </c>
      <c r="D42" s="106" t="s">
        <v>1891</v>
      </c>
    </row>
    <row r="43" spans="1:4" ht="46" x14ac:dyDescent="0.25">
      <c r="A43" s="257" t="s">
        <v>356</v>
      </c>
      <c r="B43" s="49" t="s">
        <v>644</v>
      </c>
      <c r="C43" s="49" t="s">
        <v>2544</v>
      </c>
      <c r="D43" s="106" t="s">
        <v>1892</v>
      </c>
    </row>
    <row r="44" spans="1:4" ht="34.5" x14ac:dyDescent="0.25">
      <c r="A44" s="257" t="s">
        <v>357</v>
      </c>
      <c r="B44" s="49" t="s">
        <v>645</v>
      </c>
      <c r="C44" s="49" t="s">
        <v>2545</v>
      </c>
      <c r="D44" s="106" t="s">
        <v>1893</v>
      </c>
    </row>
    <row r="45" spans="1:4" x14ac:dyDescent="0.25">
      <c r="A45" s="257" t="s">
        <v>127</v>
      </c>
      <c r="B45" s="49" t="s">
        <v>646</v>
      </c>
      <c r="C45" s="105" t="s">
        <v>1650</v>
      </c>
      <c r="D45" s="106" t="s">
        <v>1894</v>
      </c>
    </row>
    <row r="46" spans="1:4" ht="34.5" x14ac:dyDescent="0.25">
      <c r="A46" s="257" t="s">
        <v>647</v>
      </c>
      <c r="B46" s="49" t="s">
        <v>972</v>
      </c>
      <c r="C46" s="49" t="s">
        <v>1763</v>
      </c>
      <c r="D46" s="106" t="s">
        <v>2224</v>
      </c>
    </row>
    <row r="47" spans="1:4" ht="57.5" x14ac:dyDescent="0.25">
      <c r="A47" s="257" t="s">
        <v>358</v>
      </c>
      <c r="B47" s="49" t="s">
        <v>648</v>
      </c>
      <c r="C47" s="49" t="s">
        <v>2546</v>
      </c>
      <c r="D47" s="106" t="s">
        <v>1895</v>
      </c>
    </row>
    <row r="48" spans="1:4" ht="46" x14ac:dyDescent="0.25">
      <c r="A48" s="257" t="s">
        <v>359</v>
      </c>
      <c r="B48" s="49" t="s">
        <v>649</v>
      </c>
      <c r="C48" s="49" t="s">
        <v>1674</v>
      </c>
      <c r="D48" s="106" t="s">
        <v>1896</v>
      </c>
    </row>
    <row r="49" spans="1:4" ht="23" x14ac:dyDescent="0.25">
      <c r="A49" s="257" t="s">
        <v>360</v>
      </c>
      <c r="B49" s="49" t="s">
        <v>650</v>
      </c>
      <c r="C49" s="49" t="s">
        <v>1675</v>
      </c>
      <c r="D49" s="106" t="s">
        <v>1897</v>
      </c>
    </row>
    <row r="50" spans="1:4" x14ac:dyDescent="0.25">
      <c r="A50" s="257" t="s">
        <v>130</v>
      </c>
      <c r="B50" s="49" t="s">
        <v>651</v>
      </c>
      <c r="C50" s="105" t="s">
        <v>1651</v>
      </c>
      <c r="D50" s="106" t="s">
        <v>1898</v>
      </c>
    </row>
    <row r="51" spans="1:4" ht="46" x14ac:dyDescent="0.25">
      <c r="A51" s="257" t="s">
        <v>652</v>
      </c>
      <c r="B51" s="49" t="s">
        <v>973</v>
      </c>
      <c r="C51" s="49" t="s">
        <v>1764</v>
      </c>
      <c r="D51" s="106" t="s">
        <v>1899</v>
      </c>
    </row>
    <row r="52" spans="1:4" ht="34.5" x14ac:dyDescent="0.25">
      <c r="A52" s="257" t="s">
        <v>361</v>
      </c>
      <c r="B52" s="49" t="s">
        <v>653</v>
      </c>
      <c r="C52" s="49" t="s">
        <v>2439</v>
      </c>
      <c r="D52" s="106" t="s">
        <v>1900</v>
      </c>
    </row>
    <row r="53" spans="1:4" ht="57.5" x14ac:dyDescent="0.25">
      <c r="A53" s="257" t="s">
        <v>362</v>
      </c>
      <c r="B53" s="49" t="s">
        <v>654</v>
      </c>
      <c r="C53" s="49" t="s">
        <v>1740</v>
      </c>
      <c r="D53" s="106" t="s">
        <v>1901</v>
      </c>
    </row>
    <row r="54" spans="1:4" ht="23" x14ac:dyDescent="0.25">
      <c r="A54" s="257" t="s">
        <v>363</v>
      </c>
      <c r="B54" s="49" t="s">
        <v>655</v>
      </c>
      <c r="C54" s="49" t="s">
        <v>1676</v>
      </c>
      <c r="D54" s="106" t="s">
        <v>1902</v>
      </c>
    </row>
    <row r="55" spans="1:4" ht="57.5" x14ac:dyDescent="0.25">
      <c r="A55" s="257" t="s">
        <v>364</v>
      </c>
      <c r="B55" s="49" t="s">
        <v>656</v>
      </c>
      <c r="C55" s="49" t="s">
        <v>1751</v>
      </c>
      <c r="D55" s="106" t="s">
        <v>1903</v>
      </c>
    </row>
    <row r="56" spans="1:4" x14ac:dyDescent="0.25">
      <c r="A56" s="257" t="s">
        <v>133</v>
      </c>
      <c r="B56" s="49" t="s">
        <v>657</v>
      </c>
      <c r="C56" s="105" t="s">
        <v>1652</v>
      </c>
      <c r="D56" s="106" t="s">
        <v>1904</v>
      </c>
    </row>
    <row r="57" spans="1:4" ht="34.5" x14ac:dyDescent="0.25">
      <c r="A57" s="257" t="s">
        <v>658</v>
      </c>
      <c r="B57" s="49" t="s">
        <v>974</v>
      </c>
      <c r="C57" s="49" t="s">
        <v>1765</v>
      </c>
      <c r="D57" s="106" t="s">
        <v>1905</v>
      </c>
    </row>
    <row r="58" spans="1:4" ht="46" x14ac:dyDescent="0.25">
      <c r="A58" s="257" t="s">
        <v>365</v>
      </c>
      <c r="B58" s="49" t="s">
        <v>659</v>
      </c>
      <c r="C58" s="49" t="s">
        <v>2564</v>
      </c>
      <c r="D58" s="106" t="s">
        <v>1906</v>
      </c>
    </row>
    <row r="59" spans="1:4" ht="34.5" x14ac:dyDescent="0.25">
      <c r="A59" s="257" t="s">
        <v>366</v>
      </c>
      <c r="B59" s="49" t="s">
        <v>660</v>
      </c>
      <c r="C59" s="49" t="s">
        <v>1677</v>
      </c>
      <c r="D59" s="106" t="s">
        <v>1907</v>
      </c>
    </row>
    <row r="60" spans="1:4" ht="34.5" x14ac:dyDescent="0.25">
      <c r="A60" s="257" t="s">
        <v>367</v>
      </c>
      <c r="B60" s="49" t="s">
        <v>661</v>
      </c>
      <c r="C60" s="49" t="s">
        <v>1616</v>
      </c>
      <c r="D60" s="106" t="s">
        <v>1908</v>
      </c>
    </row>
    <row r="61" spans="1:4" ht="34.5" x14ac:dyDescent="0.25">
      <c r="A61" s="257" t="s">
        <v>368</v>
      </c>
      <c r="B61" s="49" t="s">
        <v>662</v>
      </c>
      <c r="C61" s="49" t="s">
        <v>1678</v>
      </c>
      <c r="D61" s="106" t="s">
        <v>1909</v>
      </c>
    </row>
    <row r="62" spans="1:4" ht="46" x14ac:dyDescent="0.25">
      <c r="A62" s="257" t="s">
        <v>369</v>
      </c>
      <c r="B62" s="49" t="s">
        <v>663</v>
      </c>
      <c r="C62" s="49" t="s">
        <v>1679</v>
      </c>
      <c r="D62" s="106" t="s">
        <v>1910</v>
      </c>
    </row>
    <row r="63" spans="1:4" ht="34.5" x14ac:dyDescent="0.25">
      <c r="A63" s="257" t="s">
        <v>370</v>
      </c>
      <c r="B63" s="49" t="s">
        <v>664</v>
      </c>
      <c r="C63" s="49" t="s">
        <v>1680</v>
      </c>
      <c r="D63" s="106" t="s">
        <v>1911</v>
      </c>
    </row>
    <row r="64" spans="1:4" s="53" customFormat="1" ht="34.5" x14ac:dyDescent="0.25">
      <c r="A64" s="257" t="s">
        <v>371</v>
      </c>
      <c r="B64" s="49" t="s">
        <v>665</v>
      </c>
      <c r="C64" s="49" t="s">
        <v>1681</v>
      </c>
      <c r="D64" s="106" t="s">
        <v>1912</v>
      </c>
    </row>
    <row r="65" spans="1:4" ht="34.5" x14ac:dyDescent="0.25">
      <c r="A65" s="257" t="s">
        <v>372</v>
      </c>
      <c r="B65" s="49" t="s">
        <v>666</v>
      </c>
      <c r="C65" s="49" t="s">
        <v>1754</v>
      </c>
      <c r="D65" s="106" t="s">
        <v>1913</v>
      </c>
    </row>
    <row r="66" spans="1:4" ht="23" x14ac:dyDescent="0.25">
      <c r="A66" s="257" t="s">
        <v>374</v>
      </c>
      <c r="B66" s="49" t="s">
        <v>667</v>
      </c>
      <c r="C66" s="49" t="s">
        <v>1682</v>
      </c>
      <c r="D66" s="106" t="s">
        <v>1914</v>
      </c>
    </row>
    <row r="67" spans="1:4" x14ac:dyDescent="0.25">
      <c r="A67" s="257" t="s">
        <v>136</v>
      </c>
      <c r="B67" s="49" t="s">
        <v>481</v>
      </c>
      <c r="C67" s="105" t="s">
        <v>1758</v>
      </c>
      <c r="D67" s="106" t="s">
        <v>1872</v>
      </c>
    </row>
    <row r="68" spans="1:4" ht="69" x14ac:dyDescent="0.25">
      <c r="A68" s="257" t="s">
        <v>668</v>
      </c>
      <c r="B68" s="49" t="s">
        <v>483</v>
      </c>
      <c r="C68" s="49" t="s">
        <v>2565</v>
      </c>
      <c r="D68" s="106" t="s">
        <v>1873</v>
      </c>
    </row>
    <row r="69" spans="1:4" s="53" customFormat="1" ht="23" x14ac:dyDescent="0.25">
      <c r="A69" s="257" t="s">
        <v>376</v>
      </c>
      <c r="B69" s="49" t="s">
        <v>669</v>
      </c>
      <c r="C69" s="49" t="s">
        <v>1766</v>
      </c>
      <c r="D69" s="106" t="s">
        <v>1915</v>
      </c>
    </row>
    <row r="70" spans="1:4" ht="23" x14ac:dyDescent="0.25">
      <c r="A70" s="257" t="s">
        <v>377</v>
      </c>
      <c r="B70" s="49" t="s">
        <v>670</v>
      </c>
      <c r="C70" s="49" t="s">
        <v>1767</v>
      </c>
      <c r="D70" s="106" t="s">
        <v>1916</v>
      </c>
    </row>
    <row r="71" spans="1:4" ht="23" x14ac:dyDescent="0.25">
      <c r="A71" s="257" t="s">
        <v>378</v>
      </c>
      <c r="B71" s="49" t="s">
        <v>671</v>
      </c>
      <c r="C71" s="49" t="s">
        <v>1768</v>
      </c>
      <c r="D71" s="106" t="s">
        <v>1917</v>
      </c>
    </row>
    <row r="72" spans="1:4" ht="23" x14ac:dyDescent="0.25">
      <c r="A72" s="257" t="s">
        <v>379</v>
      </c>
      <c r="B72" s="49" t="s">
        <v>672</v>
      </c>
      <c r="C72" s="49" t="s">
        <v>2324</v>
      </c>
      <c r="D72" s="106" t="s">
        <v>1918</v>
      </c>
    </row>
    <row r="73" spans="1:4" ht="34.5" x14ac:dyDescent="0.25">
      <c r="A73" s="257" t="s">
        <v>380</v>
      </c>
      <c r="B73" s="49" t="s">
        <v>673</v>
      </c>
      <c r="C73" s="49" t="s">
        <v>2334</v>
      </c>
      <c r="D73" s="106" t="s">
        <v>1919</v>
      </c>
    </row>
    <row r="74" spans="1:4" ht="23" x14ac:dyDescent="0.25">
      <c r="A74" s="257" t="s">
        <v>381</v>
      </c>
      <c r="B74" s="49" t="s">
        <v>674</v>
      </c>
      <c r="C74" s="49" t="s">
        <v>1769</v>
      </c>
      <c r="D74" s="106" t="s">
        <v>1920</v>
      </c>
    </row>
    <row r="75" spans="1:4" ht="23" x14ac:dyDescent="0.25">
      <c r="A75" s="257" t="s">
        <v>382</v>
      </c>
      <c r="B75" s="49" t="s">
        <v>675</v>
      </c>
      <c r="C75" s="49" t="s">
        <v>2344</v>
      </c>
      <c r="D75" s="106" t="s">
        <v>1921</v>
      </c>
    </row>
    <row r="76" spans="1:4" x14ac:dyDescent="0.25">
      <c r="A76" s="257" t="s">
        <v>51</v>
      </c>
      <c r="B76" s="49" t="s">
        <v>515</v>
      </c>
      <c r="C76" s="105" t="s">
        <v>1649</v>
      </c>
      <c r="D76" s="106" t="s">
        <v>1922</v>
      </c>
    </row>
    <row r="77" spans="1:4" ht="80.5" x14ac:dyDescent="0.25">
      <c r="A77" s="257" t="s">
        <v>516</v>
      </c>
      <c r="B77" s="49" t="s">
        <v>517</v>
      </c>
      <c r="C77" s="49" t="s">
        <v>2374</v>
      </c>
      <c r="D77" s="106" t="s">
        <v>1923</v>
      </c>
    </row>
    <row r="78" spans="1:4" x14ac:dyDescent="0.25">
      <c r="A78" s="257" t="s">
        <v>53</v>
      </c>
      <c r="B78" s="49" t="s">
        <v>518</v>
      </c>
      <c r="C78" s="105" t="s">
        <v>1684</v>
      </c>
      <c r="D78" s="106" t="s">
        <v>1924</v>
      </c>
    </row>
    <row r="79" spans="1:4" ht="80.5" x14ac:dyDescent="0.25">
      <c r="A79" s="257" t="s">
        <v>519</v>
      </c>
      <c r="B79" s="49" t="s">
        <v>520</v>
      </c>
      <c r="C79" s="49" t="s">
        <v>2375</v>
      </c>
      <c r="D79" s="106" t="s">
        <v>1925</v>
      </c>
    </row>
    <row r="80" spans="1:4" ht="34.5" x14ac:dyDescent="0.25">
      <c r="A80" s="257" t="s">
        <v>92</v>
      </c>
      <c r="B80" s="49" t="s">
        <v>521</v>
      </c>
      <c r="C80" s="49" t="s">
        <v>2382</v>
      </c>
      <c r="D80" s="106" t="s">
        <v>1926</v>
      </c>
    </row>
    <row r="81" spans="1:4" ht="69" x14ac:dyDescent="0.25">
      <c r="A81" s="257" t="s">
        <v>94</v>
      </c>
      <c r="B81" s="49" t="s">
        <v>522</v>
      </c>
      <c r="C81" s="49" t="s">
        <v>2376</v>
      </c>
      <c r="D81" s="106" t="s">
        <v>1927</v>
      </c>
    </row>
    <row r="82" spans="1:4" ht="23" x14ac:dyDescent="0.25">
      <c r="A82" s="257" t="s">
        <v>95</v>
      </c>
      <c r="B82" s="49" t="s">
        <v>523</v>
      </c>
      <c r="C82" s="49" t="s">
        <v>2566</v>
      </c>
      <c r="D82" s="106" t="s">
        <v>1928</v>
      </c>
    </row>
    <row r="83" spans="1:4" ht="23" x14ac:dyDescent="0.25">
      <c r="A83" s="257" t="s">
        <v>97</v>
      </c>
      <c r="B83" s="49" t="s">
        <v>524</v>
      </c>
      <c r="C83" s="49" t="s">
        <v>2383</v>
      </c>
      <c r="D83" s="106" t="s">
        <v>1929</v>
      </c>
    </row>
    <row r="84" spans="1:4" ht="23" x14ac:dyDescent="0.25">
      <c r="A84" s="257" t="s">
        <v>99</v>
      </c>
      <c r="B84" s="49" t="s">
        <v>525</v>
      </c>
      <c r="C84" s="49" t="s">
        <v>2377</v>
      </c>
      <c r="D84" s="106" t="s">
        <v>1930</v>
      </c>
    </row>
    <row r="85" spans="1:4" ht="34.5" x14ac:dyDescent="0.25">
      <c r="A85" s="257" t="s">
        <v>101</v>
      </c>
      <c r="B85" s="49" t="s">
        <v>526</v>
      </c>
      <c r="C85" s="49" t="s">
        <v>2378</v>
      </c>
      <c r="D85" s="106" t="s">
        <v>1931</v>
      </c>
    </row>
    <row r="86" spans="1:4" s="53" customFormat="1" x14ac:dyDescent="0.25">
      <c r="A86" s="257" t="s">
        <v>55</v>
      </c>
      <c r="B86" s="49" t="s">
        <v>527</v>
      </c>
      <c r="C86" s="105" t="s">
        <v>1653</v>
      </c>
      <c r="D86" s="106" t="s">
        <v>1932</v>
      </c>
    </row>
    <row r="87" spans="1:4" ht="57.5" x14ac:dyDescent="0.25">
      <c r="A87" s="257" t="s">
        <v>528</v>
      </c>
      <c r="B87" s="49" t="s">
        <v>520</v>
      </c>
      <c r="C87" s="49" t="s">
        <v>2379</v>
      </c>
      <c r="D87" s="106" t="s">
        <v>1933</v>
      </c>
    </row>
    <row r="88" spans="1:4" ht="57.5" x14ac:dyDescent="0.25">
      <c r="A88" s="257" t="s">
        <v>103</v>
      </c>
      <c r="B88" s="49" t="s">
        <v>529</v>
      </c>
      <c r="C88" s="49" t="s">
        <v>2380</v>
      </c>
      <c r="D88" s="106" t="s">
        <v>1934</v>
      </c>
    </row>
    <row r="89" spans="1:4" ht="57.5" x14ac:dyDescent="0.25">
      <c r="A89" s="257" t="s">
        <v>104</v>
      </c>
      <c r="B89" s="49" t="s">
        <v>530</v>
      </c>
      <c r="C89" s="49" t="s">
        <v>2381</v>
      </c>
      <c r="D89" s="106" t="s">
        <v>1935</v>
      </c>
    </row>
    <row r="90" spans="1:4" x14ac:dyDescent="0.25">
      <c r="A90" s="257" t="s">
        <v>106</v>
      </c>
      <c r="B90" s="49" t="s">
        <v>531</v>
      </c>
      <c r="C90" s="49" t="s">
        <v>2385</v>
      </c>
      <c r="D90" s="106" t="s">
        <v>1936</v>
      </c>
    </row>
    <row r="91" spans="1:4" ht="23" x14ac:dyDescent="0.25">
      <c r="A91" s="257" t="s">
        <v>108</v>
      </c>
      <c r="B91" s="49" t="s">
        <v>532</v>
      </c>
      <c r="C91" s="49" t="s">
        <v>2384</v>
      </c>
      <c r="D91" s="106" t="s">
        <v>1937</v>
      </c>
    </row>
    <row r="92" spans="1:4" ht="23" x14ac:dyDescent="0.25">
      <c r="A92" s="257" t="s">
        <v>110</v>
      </c>
      <c r="B92" s="49" t="s">
        <v>525</v>
      </c>
      <c r="C92" s="49" t="s">
        <v>2377</v>
      </c>
      <c r="D92" s="106" t="s">
        <v>1930</v>
      </c>
    </row>
    <row r="93" spans="1:4" ht="23" x14ac:dyDescent="0.25">
      <c r="A93" s="257" t="s">
        <v>111</v>
      </c>
      <c r="B93" s="49" t="s">
        <v>533</v>
      </c>
      <c r="C93" s="49" t="s">
        <v>1683</v>
      </c>
      <c r="D93" s="106" t="s">
        <v>1938</v>
      </c>
    </row>
    <row r="94" spans="1:4" x14ac:dyDescent="0.25">
      <c r="A94" s="257" t="s">
        <v>57</v>
      </c>
      <c r="B94" s="49" t="s">
        <v>534</v>
      </c>
      <c r="C94" s="105" t="s">
        <v>1617</v>
      </c>
      <c r="D94" s="106" t="s">
        <v>1939</v>
      </c>
    </row>
    <row r="95" spans="1:4" ht="103.5" x14ac:dyDescent="0.25">
      <c r="A95" s="257" t="s">
        <v>535</v>
      </c>
      <c r="B95" s="49" t="s">
        <v>536</v>
      </c>
      <c r="C95" s="49" t="s">
        <v>2386</v>
      </c>
      <c r="D95" s="106" t="s">
        <v>1940</v>
      </c>
    </row>
    <row r="96" spans="1:4" ht="46" x14ac:dyDescent="0.25">
      <c r="A96" s="257" t="s">
        <v>114</v>
      </c>
      <c r="B96" s="49" t="s">
        <v>537</v>
      </c>
      <c r="C96" s="49" t="s">
        <v>2567</v>
      </c>
      <c r="D96" s="106" t="s">
        <v>1941</v>
      </c>
    </row>
    <row r="97" spans="1:4" ht="23" x14ac:dyDescent="0.25">
      <c r="A97" s="257" t="s">
        <v>116</v>
      </c>
      <c r="B97" s="49" t="s">
        <v>538</v>
      </c>
      <c r="C97" s="49" t="s">
        <v>1743</v>
      </c>
      <c r="D97" s="106" t="s">
        <v>1942</v>
      </c>
    </row>
    <row r="98" spans="1:4" ht="23" x14ac:dyDescent="0.25">
      <c r="A98" s="257" t="s">
        <v>118</v>
      </c>
      <c r="B98" s="49" t="s">
        <v>539</v>
      </c>
      <c r="C98" s="49" t="s">
        <v>2387</v>
      </c>
      <c r="D98" s="106" t="s">
        <v>1943</v>
      </c>
    </row>
    <row r="99" spans="1:4" ht="23" x14ac:dyDescent="0.25">
      <c r="A99" s="257" t="s">
        <v>120</v>
      </c>
      <c r="B99" s="49" t="s">
        <v>540</v>
      </c>
      <c r="C99" s="49" t="s">
        <v>2388</v>
      </c>
      <c r="D99" s="106" t="s">
        <v>1944</v>
      </c>
    </row>
    <row r="100" spans="1:4" ht="23" x14ac:dyDescent="0.25">
      <c r="A100" s="257" t="s">
        <v>122</v>
      </c>
      <c r="B100" s="49" t="s">
        <v>541</v>
      </c>
      <c r="C100" s="49" t="s">
        <v>542</v>
      </c>
      <c r="D100" s="106" t="s">
        <v>1945</v>
      </c>
    </row>
    <row r="101" spans="1:4" ht="34.5" x14ac:dyDescent="0.25">
      <c r="A101" s="257" t="s">
        <v>123</v>
      </c>
      <c r="B101" s="49" t="s">
        <v>543</v>
      </c>
      <c r="C101" s="49" t="s">
        <v>1685</v>
      </c>
      <c r="D101" s="106" t="s">
        <v>1946</v>
      </c>
    </row>
    <row r="102" spans="1:4" x14ac:dyDescent="0.25">
      <c r="A102" s="257" t="s">
        <v>59</v>
      </c>
      <c r="B102" s="49" t="s">
        <v>544</v>
      </c>
      <c r="C102" s="105" t="s">
        <v>1745</v>
      </c>
      <c r="D102" s="106" t="s">
        <v>1947</v>
      </c>
    </row>
    <row r="103" spans="1:4" ht="80.5" x14ac:dyDescent="0.25">
      <c r="A103" s="257" t="s">
        <v>545</v>
      </c>
      <c r="B103" s="49" t="s">
        <v>546</v>
      </c>
      <c r="C103" s="49" t="s">
        <v>2389</v>
      </c>
      <c r="D103" s="106" t="s">
        <v>1948</v>
      </c>
    </row>
    <row r="104" spans="1:4" ht="23" x14ac:dyDescent="0.25">
      <c r="A104" s="257" t="s">
        <v>125</v>
      </c>
      <c r="B104" s="49" t="s">
        <v>547</v>
      </c>
      <c r="C104" s="49" t="s">
        <v>1744</v>
      </c>
      <c r="D104" s="106" t="s">
        <v>1949</v>
      </c>
    </row>
    <row r="105" spans="1:4" ht="23" x14ac:dyDescent="0.25">
      <c r="A105" s="257" t="s">
        <v>128</v>
      </c>
      <c r="B105" s="49" t="s">
        <v>548</v>
      </c>
      <c r="C105" s="49" t="s">
        <v>2390</v>
      </c>
      <c r="D105" s="106" t="s">
        <v>1950</v>
      </c>
    </row>
    <row r="106" spans="1:4" ht="23" x14ac:dyDescent="0.25">
      <c r="A106" s="257" t="s">
        <v>131</v>
      </c>
      <c r="B106" s="49" t="s">
        <v>549</v>
      </c>
      <c r="C106" s="49" t="s">
        <v>1618</v>
      </c>
      <c r="D106" s="106" t="s">
        <v>1951</v>
      </c>
    </row>
    <row r="107" spans="1:4" ht="34.5" x14ac:dyDescent="0.25">
      <c r="A107" s="257" t="s">
        <v>134</v>
      </c>
      <c r="B107" s="49" t="s">
        <v>550</v>
      </c>
      <c r="C107" s="49" t="s">
        <v>551</v>
      </c>
      <c r="D107" s="106" t="s">
        <v>1952</v>
      </c>
    </row>
    <row r="108" spans="1:4" ht="23" x14ac:dyDescent="0.25">
      <c r="A108" s="257" t="s">
        <v>137</v>
      </c>
      <c r="B108" s="49" t="s">
        <v>552</v>
      </c>
      <c r="C108" s="49" t="s">
        <v>1619</v>
      </c>
      <c r="D108" s="106" t="s">
        <v>1953</v>
      </c>
    </row>
    <row r="109" spans="1:4" ht="34.5" x14ac:dyDescent="0.25">
      <c r="A109" s="257" t="s">
        <v>139</v>
      </c>
      <c r="B109" s="49" t="s">
        <v>553</v>
      </c>
      <c r="C109" s="49" t="s">
        <v>1686</v>
      </c>
      <c r="D109" s="106" t="s">
        <v>1954</v>
      </c>
    </row>
    <row r="110" spans="1:4" x14ac:dyDescent="0.25">
      <c r="A110" s="257" t="s">
        <v>62</v>
      </c>
      <c r="B110" s="49" t="s">
        <v>481</v>
      </c>
      <c r="C110" s="105" t="s">
        <v>1758</v>
      </c>
      <c r="D110" s="106" t="s">
        <v>1872</v>
      </c>
    </row>
    <row r="111" spans="1:4" ht="69" x14ac:dyDescent="0.25">
      <c r="A111" s="257" t="s">
        <v>554</v>
      </c>
      <c r="B111" s="49" t="s">
        <v>483</v>
      </c>
      <c r="C111" s="49" t="s">
        <v>2565</v>
      </c>
      <c r="D111" s="106" t="s">
        <v>1873</v>
      </c>
    </row>
    <row r="112" spans="1:4" ht="23" x14ac:dyDescent="0.25">
      <c r="A112" s="257" t="s">
        <v>142</v>
      </c>
      <c r="B112" s="49" t="s">
        <v>555</v>
      </c>
      <c r="C112" s="49" t="s">
        <v>1770</v>
      </c>
      <c r="D112" s="106" t="s">
        <v>1955</v>
      </c>
    </row>
    <row r="113" spans="1:4" ht="23" x14ac:dyDescent="0.25">
      <c r="A113" s="257" t="s">
        <v>145</v>
      </c>
      <c r="B113" s="49" t="s">
        <v>556</v>
      </c>
      <c r="C113" s="49" t="s">
        <v>1771</v>
      </c>
      <c r="D113" s="106" t="s">
        <v>1956</v>
      </c>
    </row>
    <row r="114" spans="1:4" ht="23" x14ac:dyDescent="0.25">
      <c r="A114" s="257" t="s">
        <v>148</v>
      </c>
      <c r="B114" s="49" t="s">
        <v>557</v>
      </c>
      <c r="C114" s="49" t="s">
        <v>1772</v>
      </c>
      <c r="D114" s="106" t="s">
        <v>1957</v>
      </c>
    </row>
    <row r="115" spans="1:4" ht="23" x14ac:dyDescent="0.25">
      <c r="A115" s="257" t="s">
        <v>151</v>
      </c>
      <c r="B115" s="49" t="s">
        <v>558</v>
      </c>
      <c r="C115" s="49" t="s">
        <v>2325</v>
      </c>
      <c r="D115" s="106" t="s">
        <v>1958</v>
      </c>
    </row>
    <row r="116" spans="1:4" ht="46" x14ac:dyDescent="0.25">
      <c r="A116" s="257" t="s">
        <v>153</v>
      </c>
      <c r="B116" s="49" t="s">
        <v>559</v>
      </c>
      <c r="C116" s="49" t="s">
        <v>2335</v>
      </c>
      <c r="D116" s="106" t="s">
        <v>1959</v>
      </c>
    </row>
    <row r="117" spans="1:4" ht="34.5" x14ac:dyDescent="0.25">
      <c r="A117" s="257" t="s">
        <v>155</v>
      </c>
      <c r="B117" s="49" t="s">
        <v>560</v>
      </c>
      <c r="C117" s="49" t="s">
        <v>1773</v>
      </c>
      <c r="D117" s="106" t="s">
        <v>1960</v>
      </c>
    </row>
    <row r="118" spans="1:4" ht="23" x14ac:dyDescent="0.25">
      <c r="A118" s="257" t="s">
        <v>158</v>
      </c>
      <c r="B118" s="49" t="s">
        <v>561</v>
      </c>
      <c r="C118" s="49" t="s">
        <v>2345</v>
      </c>
      <c r="D118" s="106" t="s">
        <v>1961</v>
      </c>
    </row>
    <row r="119" spans="1:4" x14ac:dyDescent="0.25">
      <c r="A119" s="257" t="s">
        <v>60</v>
      </c>
      <c r="B119" s="49" t="s">
        <v>976</v>
      </c>
      <c r="C119" s="105" t="s">
        <v>977</v>
      </c>
      <c r="D119" s="106" t="s">
        <v>1962</v>
      </c>
    </row>
    <row r="120" spans="1:4" s="53" customFormat="1" ht="23" x14ac:dyDescent="0.25">
      <c r="A120" s="257" t="s">
        <v>1518</v>
      </c>
      <c r="B120" s="49" t="s">
        <v>2284</v>
      </c>
      <c r="C120" s="49" t="s">
        <v>2286</v>
      </c>
      <c r="D120" s="106" t="s">
        <v>1963</v>
      </c>
    </row>
    <row r="121" spans="1:4" x14ac:dyDescent="0.25">
      <c r="A121" s="257" t="s">
        <v>157</v>
      </c>
      <c r="B121" s="49" t="s">
        <v>596</v>
      </c>
      <c r="C121" s="105" t="s">
        <v>514</v>
      </c>
      <c r="D121" s="106" t="s">
        <v>1964</v>
      </c>
    </row>
    <row r="122" spans="1:4" ht="34.5" x14ac:dyDescent="0.25">
      <c r="A122" s="257" t="s">
        <v>1519</v>
      </c>
      <c r="B122" s="49" t="s">
        <v>2285</v>
      </c>
      <c r="C122" s="49" t="s">
        <v>2287</v>
      </c>
      <c r="D122" s="106" t="s">
        <v>1965</v>
      </c>
    </row>
    <row r="123" spans="1:4" ht="23" x14ac:dyDescent="0.25">
      <c r="A123" s="257" t="s">
        <v>425</v>
      </c>
      <c r="B123" s="49" t="s">
        <v>597</v>
      </c>
      <c r="C123" s="49" t="s">
        <v>978</v>
      </c>
      <c r="D123" s="106" t="s">
        <v>1966</v>
      </c>
    </row>
    <row r="124" spans="1:4" ht="23" x14ac:dyDescent="0.25">
      <c r="A124" s="257" t="s">
        <v>426</v>
      </c>
      <c r="B124" s="49" t="s">
        <v>598</v>
      </c>
      <c r="C124" s="49" t="s">
        <v>2289</v>
      </c>
      <c r="D124" s="106" t="s">
        <v>1967</v>
      </c>
    </row>
    <row r="125" spans="1:4" ht="23" x14ac:dyDescent="0.25">
      <c r="A125" s="257" t="s">
        <v>427</v>
      </c>
      <c r="B125" s="49" t="s">
        <v>599</v>
      </c>
      <c r="C125" s="49" t="s">
        <v>2290</v>
      </c>
      <c r="D125" s="106" t="s">
        <v>1968</v>
      </c>
    </row>
    <row r="126" spans="1:4" ht="23" x14ac:dyDescent="0.25">
      <c r="A126" s="257" t="s">
        <v>428</v>
      </c>
      <c r="B126" s="49" t="s">
        <v>600</v>
      </c>
      <c r="C126" s="49" t="s">
        <v>2291</v>
      </c>
      <c r="D126" s="106" t="s">
        <v>1969</v>
      </c>
    </row>
    <row r="127" spans="1:4" ht="23" x14ac:dyDescent="0.25">
      <c r="A127" s="257" t="s">
        <v>429</v>
      </c>
      <c r="B127" s="49" t="s">
        <v>601</v>
      </c>
      <c r="C127" s="49" t="s">
        <v>2293</v>
      </c>
      <c r="D127" s="106" t="s">
        <v>1970</v>
      </c>
    </row>
    <row r="128" spans="1:4" ht="23" x14ac:dyDescent="0.25">
      <c r="A128" s="257" t="s">
        <v>430</v>
      </c>
      <c r="B128" s="49" t="s">
        <v>602</v>
      </c>
      <c r="C128" s="49" t="s">
        <v>2292</v>
      </c>
      <c r="D128" s="106" t="s">
        <v>1971</v>
      </c>
    </row>
    <row r="129" spans="1:4" ht="46" x14ac:dyDescent="0.25">
      <c r="A129" s="257" t="s">
        <v>431</v>
      </c>
      <c r="B129" s="49" t="s">
        <v>603</v>
      </c>
      <c r="C129" s="49" t="s">
        <v>2295</v>
      </c>
      <c r="D129" s="106" t="s">
        <v>1972</v>
      </c>
    </row>
    <row r="130" spans="1:4" ht="23" x14ac:dyDescent="0.25">
      <c r="A130" s="257" t="s">
        <v>432</v>
      </c>
      <c r="B130" s="49" t="s">
        <v>604</v>
      </c>
      <c r="C130" s="49" t="s">
        <v>2294</v>
      </c>
      <c r="D130" s="106" t="s">
        <v>1973</v>
      </c>
    </row>
    <row r="131" spans="1:4" x14ac:dyDescent="0.25">
      <c r="A131" s="257" t="s">
        <v>160</v>
      </c>
      <c r="B131" s="49" t="s">
        <v>605</v>
      </c>
      <c r="C131" s="105" t="s">
        <v>606</v>
      </c>
      <c r="D131" s="106" t="s">
        <v>1974</v>
      </c>
    </row>
    <row r="132" spans="1:4" ht="57.5" x14ac:dyDescent="0.25">
      <c r="A132" s="257" t="s">
        <v>1520</v>
      </c>
      <c r="B132" s="49" t="s">
        <v>607</v>
      </c>
      <c r="C132" s="49" t="s">
        <v>2311</v>
      </c>
      <c r="D132" s="106" t="s">
        <v>1975</v>
      </c>
    </row>
    <row r="133" spans="1:4" ht="32" customHeight="1" x14ac:dyDescent="0.25">
      <c r="A133" s="257" t="s">
        <v>433</v>
      </c>
      <c r="B133" s="49" t="s">
        <v>608</v>
      </c>
      <c r="C133" s="49" t="s">
        <v>2296</v>
      </c>
      <c r="D133" s="106" t="s">
        <v>1976</v>
      </c>
    </row>
    <row r="134" spans="1:4" ht="31" customHeight="1" x14ac:dyDescent="0.25">
      <c r="A134" s="257" t="s">
        <v>434</v>
      </c>
      <c r="B134" s="49" t="s">
        <v>609</v>
      </c>
      <c r="C134" s="49" t="s">
        <v>2297</v>
      </c>
      <c r="D134" s="106" t="s">
        <v>1977</v>
      </c>
    </row>
    <row r="135" spans="1:4" ht="42" customHeight="1" x14ac:dyDescent="0.25">
      <c r="A135" s="257" t="s">
        <v>435</v>
      </c>
      <c r="B135" s="49" t="s">
        <v>610</v>
      </c>
      <c r="C135" s="49" t="s">
        <v>2568</v>
      </c>
      <c r="D135" s="106" t="s">
        <v>1978</v>
      </c>
    </row>
    <row r="136" spans="1:4" ht="34.5" x14ac:dyDescent="0.25">
      <c r="A136" s="257" t="s">
        <v>436</v>
      </c>
      <c r="B136" s="49" t="s">
        <v>611</v>
      </c>
      <c r="C136" s="49" t="s">
        <v>2312</v>
      </c>
      <c r="D136" s="106" t="s">
        <v>1979</v>
      </c>
    </row>
    <row r="137" spans="1:4" ht="34.5" x14ac:dyDescent="0.25">
      <c r="A137" s="257" t="s">
        <v>437</v>
      </c>
      <c r="B137" s="49" t="s">
        <v>612</v>
      </c>
      <c r="C137" s="49" t="s">
        <v>2298</v>
      </c>
      <c r="D137" s="106" t="s">
        <v>1980</v>
      </c>
    </row>
    <row r="138" spans="1:4" s="53" customFormat="1" ht="34.5" x14ac:dyDescent="0.25">
      <c r="A138" s="257" t="s">
        <v>438</v>
      </c>
      <c r="B138" s="49" t="s">
        <v>613</v>
      </c>
      <c r="C138" s="49" t="s">
        <v>2299</v>
      </c>
      <c r="D138" s="106" t="s">
        <v>1981</v>
      </c>
    </row>
    <row r="139" spans="1:4" ht="23" x14ac:dyDescent="0.25">
      <c r="A139" s="257" t="s">
        <v>439</v>
      </c>
      <c r="B139" s="49" t="s">
        <v>614</v>
      </c>
      <c r="C139" s="49" t="s">
        <v>2288</v>
      </c>
      <c r="D139" s="106" t="s">
        <v>1982</v>
      </c>
    </row>
    <row r="140" spans="1:4" ht="46" x14ac:dyDescent="0.25">
      <c r="A140" s="257" t="s">
        <v>440</v>
      </c>
      <c r="B140" s="49" t="s">
        <v>615</v>
      </c>
      <c r="C140" s="49" t="s">
        <v>2300</v>
      </c>
      <c r="D140" s="106" t="s">
        <v>1983</v>
      </c>
    </row>
    <row r="141" spans="1:4" ht="34.5" x14ac:dyDescent="0.25">
      <c r="A141" s="257" t="s">
        <v>441</v>
      </c>
      <c r="B141" s="49" t="s">
        <v>616</v>
      </c>
      <c r="C141" s="49" t="s">
        <v>2313</v>
      </c>
      <c r="D141" s="106" t="s">
        <v>1984</v>
      </c>
    </row>
    <row r="142" spans="1:4" ht="23" x14ac:dyDescent="0.25">
      <c r="A142" s="257" t="s">
        <v>442</v>
      </c>
      <c r="B142" s="49" t="s">
        <v>617</v>
      </c>
      <c r="C142" s="49" t="s">
        <v>2569</v>
      </c>
      <c r="D142" s="106" t="s">
        <v>1985</v>
      </c>
    </row>
    <row r="143" spans="1:4" ht="34.5" x14ac:dyDescent="0.25">
      <c r="A143" s="257" t="s">
        <v>443</v>
      </c>
      <c r="B143" s="49" t="s">
        <v>618</v>
      </c>
      <c r="C143" s="49" t="s">
        <v>2302</v>
      </c>
      <c r="D143" s="106" t="s">
        <v>1986</v>
      </c>
    </row>
    <row r="144" spans="1:4" x14ac:dyDescent="0.25">
      <c r="A144" s="257" t="s">
        <v>162</v>
      </c>
      <c r="B144" s="49" t="s">
        <v>619</v>
      </c>
      <c r="C144" s="105" t="s">
        <v>2303</v>
      </c>
      <c r="D144" s="106" t="s">
        <v>2225</v>
      </c>
    </row>
    <row r="145" spans="1:4" ht="69" x14ac:dyDescent="0.25">
      <c r="A145" s="257" t="s">
        <v>1521</v>
      </c>
      <c r="B145" s="49" t="s">
        <v>620</v>
      </c>
      <c r="C145" s="49" t="s">
        <v>2301</v>
      </c>
      <c r="D145" s="106" t="s">
        <v>2226</v>
      </c>
    </row>
    <row r="146" spans="1:4" ht="23" x14ac:dyDescent="0.25">
      <c r="A146" s="257" t="s">
        <v>444</v>
      </c>
      <c r="B146" s="49" t="s">
        <v>621</v>
      </c>
      <c r="C146" s="49" t="s">
        <v>2304</v>
      </c>
      <c r="D146" s="106" t="s">
        <v>2227</v>
      </c>
    </row>
    <row r="147" spans="1:4" ht="23" x14ac:dyDescent="0.25">
      <c r="A147" s="257" t="s">
        <v>445</v>
      </c>
      <c r="B147" s="49" t="s">
        <v>622</v>
      </c>
      <c r="C147" s="49" t="s">
        <v>2306</v>
      </c>
      <c r="D147" s="106" t="s">
        <v>2228</v>
      </c>
    </row>
    <row r="148" spans="1:4" ht="23" x14ac:dyDescent="0.25">
      <c r="A148" s="257" t="s">
        <v>446</v>
      </c>
      <c r="B148" s="49" t="s">
        <v>623</v>
      </c>
      <c r="C148" s="49" t="s">
        <v>2305</v>
      </c>
      <c r="D148" s="106" t="s">
        <v>2229</v>
      </c>
    </row>
    <row r="149" spans="1:4" ht="23" x14ac:dyDescent="0.25">
      <c r="A149" s="257" t="s">
        <v>447</v>
      </c>
      <c r="B149" s="49" t="s">
        <v>624</v>
      </c>
      <c r="C149" s="49" t="s">
        <v>2307</v>
      </c>
      <c r="D149" s="106" t="s">
        <v>1987</v>
      </c>
    </row>
    <row r="150" spans="1:4" s="53" customFormat="1" ht="34.5" x14ac:dyDescent="0.25">
      <c r="A150" s="257" t="s">
        <v>448</v>
      </c>
      <c r="B150" s="49" t="s">
        <v>625</v>
      </c>
      <c r="C150" s="49" t="s">
        <v>2308</v>
      </c>
      <c r="D150" s="106" t="s">
        <v>1988</v>
      </c>
    </row>
    <row r="151" spans="1:4" ht="46" x14ac:dyDescent="0.25">
      <c r="A151" s="257" t="s">
        <v>449</v>
      </c>
      <c r="B151" s="49" t="s">
        <v>626</v>
      </c>
      <c r="C151" s="49" t="s">
        <v>2570</v>
      </c>
      <c r="D151" s="106" t="s">
        <v>2230</v>
      </c>
    </row>
    <row r="152" spans="1:4" ht="23" x14ac:dyDescent="0.25">
      <c r="A152" s="257" t="s">
        <v>450</v>
      </c>
      <c r="B152" s="49" t="s">
        <v>627</v>
      </c>
      <c r="C152" s="49" t="s">
        <v>2309</v>
      </c>
      <c r="D152" s="106" t="s">
        <v>1989</v>
      </c>
    </row>
    <row r="153" spans="1:4" ht="23" x14ac:dyDescent="0.25">
      <c r="A153" s="257" t="s">
        <v>451</v>
      </c>
      <c r="B153" s="49" t="s">
        <v>628</v>
      </c>
      <c r="C153" s="49" t="s">
        <v>2310</v>
      </c>
      <c r="D153" s="106" t="s">
        <v>1990</v>
      </c>
    </row>
    <row r="154" spans="1:4" x14ac:dyDescent="0.25">
      <c r="A154" s="257" t="s">
        <v>77</v>
      </c>
      <c r="B154" s="49" t="s">
        <v>727</v>
      </c>
      <c r="C154" s="105" t="s">
        <v>728</v>
      </c>
      <c r="D154" s="106" t="s">
        <v>2723</v>
      </c>
    </row>
    <row r="155" spans="1:4" ht="57.5" x14ac:dyDescent="0.25">
      <c r="A155" s="257" t="s">
        <v>729</v>
      </c>
      <c r="B155" s="49" t="s">
        <v>730</v>
      </c>
      <c r="C155" s="49" t="s">
        <v>2360</v>
      </c>
      <c r="D155" s="106" t="s">
        <v>1991</v>
      </c>
    </row>
    <row r="156" spans="1:4" x14ac:dyDescent="0.25">
      <c r="A156" s="257" t="s">
        <v>105</v>
      </c>
      <c r="B156" s="49" t="s">
        <v>731</v>
      </c>
      <c r="C156" s="105" t="s">
        <v>732</v>
      </c>
      <c r="D156" s="106" t="s">
        <v>1992</v>
      </c>
    </row>
    <row r="157" spans="1:4" ht="34.5" x14ac:dyDescent="0.25">
      <c r="A157" s="257" t="s">
        <v>733</v>
      </c>
      <c r="B157" s="49" t="s">
        <v>734</v>
      </c>
      <c r="C157" s="49" t="s">
        <v>2361</v>
      </c>
      <c r="D157" s="106" t="s">
        <v>1993</v>
      </c>
    </row>
    <row r="158" spans="1:4" ht="46" x14ac:dyDescent="0.25">
      <c r="A158" s="257" t="s">
        <v>290</v>
      </c>
      <c r="B158" s="49" t="s">
        <v>735</v>
      </c>
      <c r="C158" s="49" t="s">
        <v>2547</v>
      </c>
      <c r="D158" s="106" t="s">
        <v>1994</v>
      </c>
    </row>
    <row r="159" spans="1:4" ht="46" x14ac:dyDescent="0.25">
      <c r="A159" s="257" t="s">
        <v>291</v>
      </c>
      <c r="B159" s="49" t="s">
        <v>736</v>
      </c>
      <c r="C159" s="49" t="s">
        <v>2548</v>
      </c>
      <c r="D159" s="106" t="s">
        <v>1995</v>
      </c>
    </row>
    <row r="160" spans="1:4" ht="23" x14ac:dyDescent="0.25">
      <c r="A160" s="257" t="s">
        <v>292</v>
      </c>
      <c r="B160" s="49" t="s">
        <v>737</v>
      </c>
      <c r="C160" s="49" t="s">
        <v>2571</v>
      </c>
      <c r="D160" s="106" t="s">
        <v>1996</v>
      </c>
    </row>
    <row r="161" spans="1:4" ht="23" x14ac:dyDescent="0.25">
      <c r="A161" s="257" t="s">
        <v>293</v>
      </c>
      <c r="B161" s="49" t="s">
        <v>738</v>
      </c>
      <c r="C161" s="49" t="s">
        <v>2572</v>
      </c>
      <c r="D161" s="106" t="s">
        <v>1997</v>
      </c>
    </row>
    <row r="162" spans="1:4" ht="23" x14ac:dyDescent="0.25">
      <c r="A162" s="257" t="s">
        <v>294</v>
      </c>
      <c r="B162" s="49" t="s">
        <v>739</v>
      </c>
      <c r="C162" s="49" t="s">
        <v>2362</v>
      </c>
      <c r="D162" s="106" t="s">
        <v>1998</v>
      </c>
    </row>
    <row r="163" spans="1:4" s="53" customFormat="1" x14ac:dyDescent="0.25">
      <c r="A163" s="257" t="s">
        <v>295</v>
      </c>
      <c r="B163" s="49" t="s">
        <v>740</v>
      </c>
      <c r="C163" s="49" t="s">
        <v>2363</v>
      </c>
      <c r="D163" s="106" t="s">
        <v>1999</v>
      </c>
    </row>
    <row r="164" spans="1:4" ht="23" x14ac:dyDescent="0.25">
      <c r="A164" s="257" t="s">
        <v>296</v>
      </c>
      <c r="B164" s="49" t="s">
        <v>741</v>
      </c>
      <c r="C164" s="49" t="s">
        <v>2364</v>
      </c>
      <c r="D164" s="106" t="s">
        <v>2000</v>
      </c>
    </row>
    <row r="165" spans="1:4" x14ac:dyDescent="0.25">
      <c r="A165" s="257" t="s">
        <v>107</v>
      </c>
      <c r="B165" s="49" t="s">
        <v>742</v>
      </c>
      <c r="C165" s="105" t="s">
        <v>743</v>
      </c>
      <c r="D165" s="106" t="s">
        <v>2001</v>
      </c>
    </row>
    <row r="166" spans="1:4" ht="126.5" x14ac:dyDescent="0.25">
      <c r="A166" s="257" t="s">
        <v>744</v>
      </c>
      <c r="B166" s="49" t="s">
        <v>745</v>
      </c>
      <c r="C166" s="49" t="s">
        <v>2573</v>
      </c>
      <c r="D166" s="106" t="s">
        <v>2002</v>
      </c>
    </row>
    <row r="167" spans="1:4" ht="34.5" x14ac:dyDescent="0.25">
      <c r="A167" s="257" t="s">
        <v>297</v>
      </c>
      <c r="B167" s="49" t="s">
        <v>746</v>
      </c>
      <c r="C167" s="49" t="s">
        <v>2549</v>
      </c>
      <c r="D167" s="106" t="s">
        <v>2003</v>
      </c>
    </row>
    <row r="168" spans="1:4" ht="34.5" x14ac:dyDescent="0.25">
      <c r="A168" s="257" t="s">
        <v>298</v>
      </c>
      <c r="B168" s="49" t="s">
        <v>747</v>
      </c>
      <c r="C168" s="49" t="s">
        <v>2550</v>
      </c>
      <c r="D168" s="106" t="s">
        <v>2004</v>
      </c>
    </row>
    <row r="169" spans="1:4" ht="23" x14ac:dyDescent="0.25">
      <c r="A169" s="257" t="s">
        <v>299</v>
      </c>
      <c r="B169" s="49" t="s">
        <v>748</v>
      </c>
      <c r="C169" s="49" t="s">
        <v>2574</v>
      </c>
      <c r="D169" s="106" t="s">
        <v>2005</v>
      </c>
    </row>
    <row r="170" spans="1:4" ht="23" x14ac:dyDescent="0.25">
      <c r="A170" s="257" t="s">
        <v>300</v>
      </c>
      <c r="B170" s="49" t="s">
        <v>749</v>
      </c>
      <c r="C170" s="49" t="s">
        <v>2365</v>
      </c>
      <c r="D170" s="106" t="s">
        <v>2006</v>
      </c>
    </row>
    <row r="171" spans="1:4" ht="57.5" x14ac:dyDescent="0.25">
      <c r="A171" s="257" t="s">
        <v>301</v>
      </c>
      <c r="B171" s="49" t="s">
        <v>1625</v>
      </c>
      <c r="C171" s="49" t="s">
        <v>2366</v>
      </c>
      <c r="D171" s="106" t="s">
        <v>2007</v>
      </c>
    </row>
    <row r="172" spans="1:4" ht="23" x14ac:dyDescent="0.25">
      <c r="A172" s="257" t="s">
        <v>302</v>
      </c>
      <c r="B172" s="49" t="s">
        <v>750</v>
      </c>
      <c r="C172" s="49" t="s">
        <v>2367</v>
      </c>
      <c r="D172" s="106" t="s">
        <v>2008</v>
      </c>
    </row>
    <row r="173" spans="1:4" ht="34.5" x14ac:dyDescent="0.25">
      <c r="A173" s="257" t="s">
        <v>303</v>
      </c>
      <c r="B173" s="49" t="s">
        <v>1626</v>
      </c>
      <c r="C173" s="49" t="s">
        <v>2371</v>
      </c>
      <c r="D173" s="106" t="s">
        <v>2009</v>
      </c>
    </row>
    <row r="174" spans="1:4" ht="34.5" x14ac:dyDescent="0.25">
      <c r="A174" s="257" t="s">
        <v>304</v>
      </c>
      <c r="B174" s="49" t="s">
        <v>1627</v>
      </c>
      <c r="C174" s="49" t="s">
        <v>2368</v>
      </c>
      <c r="D174" s="106" t="s">
        <v>2010</v>
      </c>
    </row>
    <row r="175" spans="1:4" s="53" customFormat="1" ht="23" x14ac:dyDescent="0.25">
      <c r="A175" s="257" t="s">
        <v>305</v>
      </c>
      <c r="B175" s="49" t="s">
        <v>1628</v>
      </c>
      <c r="C175" s="49" t="s">
        <v>1687</v>
      </c>
      <c r="D175" s="106" t="s">
        <v>2011</v>
      </c>
    </row>
    <row r="176" spans="1:4" ht="34.5" x14ac:dyDescent="0.25">
      <c r="A176" s="257" t="s">
        <v>306</v>
      </c>
      <c r="B176" s="49" t="s">
        <v>751</v>
      </c>
      <c r="C176" s="49" t="s">
        <v>2369</v>
      </c>
      <c r="D176" s="106" t="s">
        <v>2012</v>
      </c>
    </row>
    <row r="177" spans="1:4" ht="34.5" x14ac:dyDescent="0.25">
      <c r="A177" s="257" t="s">
        <v>307</v>
      </c>
      <c r="B177" s="49" t="s">
        <v>752</v>
      </c>
      <c r="C177" s="49" t="s">
        <v>2370</v>
      </c>
      <c r="D177" s="106" t="s">
        <v>2013</v>
      </c>
    </row>
    <row r="178" spans="1:4" ht="34.5" x14ac:dyDescent="0.25">
      <c r="A178" s="257" t="s">
        <v>308</v>
      </c>
      <c r="B178" s="49" t="s">
        <v>753</v>
      </c>
      <c r="C178" s="49" t="s">
        <v>2372</v>
      </c>
      <c r="D178" s="106" t="s">
        <v>2014</v>
      </c>
    </row>
    <row r="179" spans="1:4" ht="34.5" x14ac:dyDescent="0.25">
      <c r="A179" s="257" t="s">
        <v>309</v>
      </c>
      <c r="B179" s="49" t="s">
        <v>754</v>
      </c>
      <c r="C179" s="49" t="s">
        <v>2575</v>
      </c>
      <c r="D179" s="106" t="s">
        <v>2015</v>
      </c>
    </row>
    <row r="180" spans="1:4" ht="23" x14ac:dyDescent="0.25">
      <c r="A180" s="257" t="s">
        <v>310</v>
      </c>
      <c r="B180" s="49" t="s">
        <v>755</v>
      </c>
      <c r="C180" s="49" t="s">
        <v>2373</v>
      </c>
      <c r="D180" s="106" t="s">
        <v>2016</v>
      </c>
    </row>
    <row r="181" spans="1:4" x14ac:dyDescent="0.25">
      <c r="A181" s="257" t="s">
        <v>109</v>
      </c>
      <c r="B181" s="49" t="s">
        <v>481</v>
      </c>
      <c r="C181" s="105" t="s">
        <v>1758</v>
      </c>
      <c r="D181" s="106" t="s">
        <v>1872</v>
      </c>
    </row>
    <row r="182" spans="1:4" ht="69" x14ac:dyDescent="0.25">
      <c r="A182" s="257" t="s">
        <v>756</v>
      </c>
      <c r="B182" s="49" t="s">
        <v>483</v>
      </c>
      <c r="C182" s="49" t="s">
        <v>2565</v>
      </c>
      <c r="D182" s="106" t="s">
        <v>1873</v>
      </c>
    </row>
    <row r="183" spans="1:4" ht="23" x14ac:dyDescent="0.25">
      <c r="A183" s="257" t="s">
        <v>312</v>
      </c>
      <c r="B183" s="49" t="s">
        <v>757</v>
      </c>
      <c r="C183" s="49" t="s">
        <v>1774</v>
      </c>
      <c r="D183" s="106" t="s">
        <v>2017</v>
      </c>
    </row>
    <row r="184" spans="1:4" ht="23" x14ac:dyDescent="0.25">
      <c r="A184" s="257" t="s">
        <v>313</v>
      </c>
      <c r="B184" s="49" t="s">
        <v>758</v>
      </c>
      <c r="C184" s="49" t="s">
        <v>1775</v>
      </c>
      <c r="D184" s="106" t="s">
        <v>2018</v>
      </c>
    </row>
    <row r="185" spans="1:4" ht="34.5" x14ac:dyDescent="0.25">
      <c r="A185" s="257" t="s">
        <v>314</v>
      </c>
      <c r="B185" s="49" t="s">
        <v>759</v>
      </c>
      <c r="C185" s="49" t="s">
        <v>1776</v>
      </c>
      <c r="D185" s="106" t="s">
        <v>2019</v>
      </c>
    </row>
    <row r="186" spans="1:4" ht="34.5" x14ac:dyDescent="0.25">
      <c r="A186" s="257" t="s">
        <v>315</v>
      </c>
      <c r="B186" s="49" t="s">
        <v>760</v>
      </c>
      <c r="C186" s="49" t="s">
        <v>2326</v>
      </c>
      <c r="D186" s="106" t="s">
        <v>2020</v>
      </c>
    </row>
    <row r="187" spans="1:4" ht="46" x14ac:dyDescent="0.25">
      <c r="A187" s="257" t="s">
        <v>316</v>
      </c>
      <c r="B187" s="49" t="s">
        <v>761</v>
      </c>
      <c r="C187" s="49" t="s">
        <v>2336</v>
      </c>
      <c r="D187" s="106" t="s">
        <v>2021</v>
      </c>
    </row>
    <row r="188" spans="1:4" ht="34.5" x14ac:dyDescent="0.25">
      <c r="A188" s="257" t="s">
        <v>317</v>
      </c>
      <c r="B188" s="49" t="s">
        <v>762</v>
      </c>
      <c r="C188" s="49" t="s">
        <v>1777</v>
      </c>
      <c r="D188" s="106" t="s">
        <v>2022</v>
      </c>
    </row>
    <row r="189" spans="1:4" ht="34.5" x14ac:dyDescent="0.25">
      <c r="A189" s="257" t="s">
        <v>318</v>
      </c>
      <c r="B189" s="49" t="s">
        <v>763</v>
      </c>
      <c r="C189" s="49" t="s">
        <v>2346</v>
      </c>
      <c r="D189" s="106" t="s">
        <v>2023</v>
      </c>
    </row>
    <row r="190" spans="1:4" x14ac:dyDescent="0.25">
      <c r="A190" s="257" t="s">
        <v>453</v>
      </c>
      <c r="B190" s="49" t="s">
        <v>982</v>
      </c>
      <c r="C190" s="49" t="s">
        <v>6</v>
      </c>
      <c r="D190" s="106" t="s">
        <v>2272</v>
      </c>
    </row>
    <row r="191" spans="1:4" x14ac:dyDescent="0.25">
      <c r="A191" s="257" t="s">
        <v>454</v>
      </c>
      <c r="B191" s="49" t="s">
        <v>2274</v>
      </c>
      <c r="C191" s="49" t="s">
        <v>2273</v>
      </c>
      <c r="D191" s="106" t="s">
        <v>2275</v>
      </c>
    </row>
    <row r="192" spans="1:4" x14ac:dyDescent="0.25">
      <c r="A192" s="257" t="s">
        <v>455</v>
      </c>
      <c r="B192" s="49" t="s">
        <v>981</v>
      </c>
      <c r="C192" s="49" t="s">
        <v>4</v>
      </c>
      <c r="D192" s="106" t="s">
        <v>2276</v>
      </c>
    </row>
    <row r="193" spans="1:4" x14ac:dyDescent="0.25">
      <c r="A193" s="257" t="s">
        <v>456</v>
      </c>
      <c r="B193" s="49" t="s">
        <v>34</v>
      </c>
      <c r="C193" s="49" t="s">
        <v>5</v>
      </c>
      <c r="D193" s="106" t="s">
        <v>2277</v>
      </c>
    </row>
    <row r="194" spans="1:4" x14ac:dyDescent="0.25">
      <c r="A194" s="257" t="s">
        <v>1848</v>
      </c>
      <c r="B194" s="49" t="s">
        <v>1572</v>
      </c>
      <c r="C194" s="49" t="s">
        <v>1533</v>
      </c>
      <c r="D194" s="106" t="s">
        <v>2278</v>
      </c>
    </row>
    <row r="195" spans="1:4" x14ac:dyDescent="0.25">
      <c r="A195" s="257" t="s">
        <v>1613</v>
      </c>
      <c r="B195" s="49" t="s">
        <v>1614</v>
      </c>
      <c r="C195" s="49" t="s">
        <v>1514</v>
      </c>
      <c r="D195" s="106" t="s">
        <v>2279</v>
      </c>
    </row>
    <row r="196" spans="1:4" x14ac:dyDescent="0.25">
      <c r="A196" s="49" t="s">
        <v>1460</v>
      </c>
      <c r="B196" s="49" t="s">
        <v>1829</v>
      </c>
      <c r="C196" s="49" t="s">
        <v>1830</v>
      </c>
      <c r="D196" s="106" t="s">
        <v>2511</v>
      </c>
    </row>
    <row r="197" spans="1:4" x14ac:dyDescent="0.25">
      <c r="A197" s="49" t="s">
        <v>1585</v>
      </c>
      <c r="B197" s="49" t="s">
        <v>1573</v>
      </c>
      <c r="C197" s="49" t="s">
        <v>1523</v>
      </c>
      <c r="D197" s="106" t="s">
        <v>2510</v>
      </c>
    </row>
    <row r="198" spans="1:4" ht="103.5" x14ac:dyDescent="0.25">
      <c r="A198" s="49" t="s">
        <v>1586</v>
      </c>
      <c r="B198" s="49" t="s">
        <v>2533</v>
      </c>
      <c r="C198" s="49" t="s">
        <v>2576</v>
      </c>
      <c r="D198" s="106" t="s">
        <v>2639</v>
      </c>
    </row>
    <row r="199" spans="1:4" x14ac:dyDescent="0.25">
      <c r="A199" s="49" t="s">
        <v>1587</v>
      </c>
      <c r="B199" s="49" t="s">
        <v>960</v>
      </c>
      <c r="C199" s="49" t="s">
        <v>949</v>
      </c>
      <c r="D199" s="106" t="s">
        <v>2640</v>
      </c>
    </row>
    <row r="200" spans="1:4" x14ac:dyDescent="0.25">
      <c r="A200" s="49" t="s">
        <v>1588</v>
      </c>
      <c r="B200" s="49" t="s">
        <v>1595</v>
      </c>
      <c r="C200" s="49" t="s">
        <v>944</v>
      </c>
      <c r="D200" s="106" t="s">
        <v>2641</v>
      </c>
    </row>
    <row r="201" spans="1:4" x14ac:dyDescent="0.25">
      <c r="A201" s="49" t="s">
        <v>1589</v>
      </c>
      <c r="B201" s="49" t="s">
        <v>1596</v>
      </c>
      <c r="C201" s="49" t="s">
        <v>945</v>
      </c>
      <c r="D201" s="106" t="s">
        <v>2642</v>
      </c>
    </row>
    <row r="202" spans="1:4" x14ac:dyDescent="0.25">
      <c r="A202" s="49" t="s">
        <v>1590</v>
      </c>
      <c r="B202" s="49" t="s">
        <v>1597</v>
      </c>
      <c r="C202" s="49" t="s">
        <v>946</v>
      </c>
      <c r="D202" s="106" t="s">
        <v>2643</v>
      </c>
    </row>
    <row r="203" spans="1:4" x14ac:dyDescent="0.25">
      <c r="A203" s="49" t="s">
        <v>1591</v>
      </c>
      <c r="B203" s="49" t="s">
        <v>1598</v>
      </c>
      <c r="C203" s="49" t="s">
        <v>1531</v>
      </c>
      <c r="D203" s="106" t="s">
        <v>2644</v>
      </c>
    </row>
    <row r="204" spans="1:4" x14ac:dyDescent="0.25">
      <c r="A204" s="49" t="s">
        <v>1592</v>
      </c>
      <c r="B204" s="49" t="s">
        <v>1599</v>
      </c>
      <c r="C204" s="49" t="s">
        <v>1532</v>
      </c>
      <c r="D204" s="106" t="s">
        <v>2645</v>
      </c>
    </row>
    <row r="205" spans="1:4" x14ac:dyDescent="0.25">
      <c r="A205" s="49" t="s">
        <v>1593</v>
      </c>
      <c r="B205" s="49" t="s">
        <v>1600</v>
      </c>
      <c r="C205" s="49" t="s">
        <v>947</v>
      </c>
      <c r="D205" s="106" t="s">
        <v>1600</v>
      </c>
    </row>
    <row r="206" spans="1:4" x14ac:dyDescent="0.25">
      <c r="A206" s="49" t="s">
        <v>1584</v>
      </c>
      <c r="B206" s="49" t="s">
        <v>1601</v>
      </c>
      <c r="C206" s="49" t="s">
        <v>948</v>
      </c>
      <c r="D206" s="106" t="s">
        <v>2646</v>
      </c>
    </row>
    <row r="207" spans="1:4" x14ac:dyDescent="0.25">
      <c r="A207" s="49" t="s">
        <v>1594</v>
      </c>
      <c r="B207" s="49" t="s">
        <v>1602</v>
      </c>
      <c r="C207" s="49" t="s">
        <v>1530</v>
      </c>
      <c r="D207" s="106" t="s">
        <v>1602</v>
      </c>
    </row>
    <row r="208" spans="1:4" x14ac:dyDescent="0.25">
      <c r="A208" s="49" t="s">
        <v>1457</v>
      </c>
      <c r="B208" s="105" t="s">
        <v>1837</v>
      </c>
      <c r="C208" s="49" t="s">
        <v>1838</v>
      </c>
      <c r="D208" s="106" t="s">
        <v>2648</v>
      </c>
    </row>
    <row r="209" spans="1:4" x14ac:dyDescent="0.25">
      <c r="A209" s="49" t="s">
        <v>1574</v>
      </c>
      <c r="B209" s="105" t="s">
        <v>1582</v>
      </c>
      <c r="C209" s="49" t="s">
        <v>1524</v>
      </c>
      <c r="D209" s="106" t="s">
        <v>2649</v>
      </c>
    </row>
    <row r="210" spans="1:4" x14ac:dyDescent="0.25">
      <c r="A210" s="49" t="s">
        <v>1575</v>
      </c>
      <c r="B210" s="105" t="s">
        <v>1583</v>
      </c>
      <c r="C210" s="49" t="s">
        <v>1522</v>
      </c>
      <c r="D210" s="106" t="s">
        <v>2647</v>
      </c>
    </row>
    <row r="211" spans="1:4" x14ac:dyDescent="0.25">
      <c r="A211" s="49" t="s">
        <v>1576</v>
      </c>
      <c r="B211" s="105" t="s">
        <v>1511</v>
      </c>
      <c r="C211" s="49" t="s">
        <v>1525</v>
      </c>
      <c r="D211" s="106" t="s">
        <v>2650</v>
      </c>
    </row>
    <row r="212" spans="1:4" x14ac:dyDescent="0.25">
      <c r="A212" s="49" t="s">
        <v>1577</v>
      </c>
      <c r="B212" s="49" t="s">
        <v>2591</v>
      </c>
      <c r="C212" s="49" t="s">
        <v>2593</v>
      </c>
      <c r="D212" s="106" t="s">
        <v>2651</v>
      </c>
    </row>
    <row r="213" spans="1:4" x14ac:dyDescent="0.25">
      <c r="A213" s="49" t="s">
        <v>1578</v>
      </c>
      <c r="B213" s="49" t="s">
        <v>2591</v>
      </c>
      <c r="C213" s="49" t="s">
        <v>2593</v>
      </c>
      <c r="D213" s="106" t="s">
        <v>2651</v>
      </c>
    </row>
    <row r="214" spans="1:4" x14ac:dyDescent="0.25">
      <c r="A214" s="49" t="s">
        <v>1579</v>
      </c>
      <c r="B214" s="49" t="s">
        <v>2592</v>
      </c>
      <c r="C214" s="49" t="s">
        <v>2594</v>
      </c>
      <c r="D214" s="106" t="s">
        <v>2652</v>
      </c>
    </row>
    <row r="215" spans="1:4" x14ac:dyDescent="0.25">
      <c r="A215" s="49" t="s">
        <v>1580</v>
      </c>
      <c r="B215" s="49" t="s">
        <v>2656</v>
      </c>
      <c r="C215" s="49" t="s">
        <v>2657</v>
      </c>
      <c r="D215" s="106" t="s">
        <v>2658</v>
      </c>
    </row>
    <row r="216" spans="1:4" ht="92" x14ac:dyDescent="0.25">
      <c r="A216" s="49" t="s">
        <v>1581</v>
      </c>
      <c r="B216" s="49" t="s">
        <v>2653</v>
      </c>
      <c r="C216" s="49" t="s">
        <v>2654</v>
      </c>
      <c r="D216" s="106" t="s">
        <v>2655</v>
      </c>
    </row>
    <row r="217" spans="1:4" x14ac:dyDescent="0.25">
      <c r="A217" s="49" t="s">
        <v>1458</v>
      </c>
      <c r="B217" s="258" t="s">
        <v>1851</v>
      </c>
      <c r="C217" s="49" t="s">
        <v>1850</v>
      </c>
      <c r="D217" s="106" t="s">
        <v>2518</v>
      </c>
    </row>
    <row r="218" spans="1:4" x14ac:dyDescent="0.25">
      <c r="A218" s="49" t="s">
        <v>1459</v>
      </c>
      <c r="B218" s="258" t="s">
        <v>1512</v>
      </c>
      <c r="C218" s="49" t="s">
        <v>1849</v>
      </c>
      <c r="D218" s="106" t="s">
        <v>2519</v>
      </c>
    </row>
    <row r="219" spans="1:4" x14ac:dyDescent="0.25">
      <c r="A219" s="49" t="s">
        <v>2482</v>
      </c>
      <c r="B219" s="258" t="s">
        <v>2498</v>
      </c>
      <c r="C219" s="49" t="s">
        <v>2499</v>
      </c>
      <c r="D219" s="106" t="s">
        <v>2520</v>
      </c>
    </row>
    <row r="220" spans="1:4" x14ac:dyDescent="0.25">
      <c r="A220" s="49" t="s">
        <v>2487</v>
      </c>
      <c r="B220" s="258" t="s">
        <v>2488</v>
      </c>
      <c r="C220" s="49" t="s">
        <v>2489</v>
      </c>
      <c r="D220" s="106" t="s">
        <v>2521</v>
      </c>
    </row>
    <row r="221" spans="1:4" x14ac:dyDescent="0.25">
      <c r="A221" s="49" t="s">
        <v>2490</v>
      </c>
      <c r="B221" s="258" t="s">
        <v>2497</v>
      </c>
      <c r="C221" s="49" t="s">
        <v>2496</v>
      </c>
      <c r="D221" s="106" t="s">
        <v>2522</v>
      </c>
    </row>
    <row r="222" spans="1:4" x14ac:dyDescent="0.25">
      <c r="A222" s="49" t="s">
        <v>2491</v>
      </c>
      <c r="B222" s="258" t="s">
        <v>2492</v>
      </c>
      <c r="C222" s="49" t="s">
        <v>2493</v>
      </c>
      <c r="D222" s="106" t="s">
        <v>2523</v>
      </c>
    </row>
    <row r="223" spans="1:4" x14ac:dyDescent="0.25">
      <c r="A223" s="49" t="s">
        <v>2453</v>
      </c>
      <c r="B223" s="258" t="s">
        <v>1639</v>
      </c>
      <c r="C223" s="49" t="s">
        <v>594</v>
      </c>
      <c r="D223" s="106" t="s">
        <v>2524</v>
      </c>
    </row>
    <row r="224" spans="1:4" x14ac:dyDescent="0.25">
      <c r="A224" s="49" t="s">
        <v>2454</v>
      </c>
      <c r="B224" s="258" t="s">
        <v>2451</v>
      </c>
      <c r="C224" s="49" t="s">
        <v>2459</v>
      </c>
      <c r="D224" s="106" t="s">
        <v>2525</v>
      </c>
    </row>
    <row r="225" spans="1:4" x14ac:dyDescent="0.25">
      <c r="A225" s="49" t="s">
        <v>2455</v>
      </c>
      <c r="B225" s="258" t="s">
        <v>2456</v>
      </c>
      <c r="C225" s="49" t="s">
        <v>2460</v>
      </c>
      <c r="D225" s="106" t="s">
        <v>2526</v>
      </c>
    </row>
    <row r="226" spans="1:4" x14ac:dyDescent="0.25">
      <c r="A226" s="49" t="s">
        <v>2479</v>
      </c>
      <c r="B226" s="258" t="s">
        <v>2457</v>
      </c>
      <c r="C226" s="49" t="s">
        <v>2458</v>
      </c>
      <c r="D226" s="106" t="s">
        <v>2527</v>
      </c>
    </row>
    <row r="227" spans="1:4" x14ac:dyDescent="0.25">
      <c r="A227" s="49" t="s">
        <v>2486</v>
      </c>
      <c r="B227" s="258" t="s">
        <v>2480</v>
      </c>
      <c r="C227" s="49" t="s">
        <v>1565</v>
      </c>
      <c r="D227" s="106" t="s">
        <v>2528</v>
      </c>
    </row>
    <row r="228" spans="1:4" x14ac:dyDescent="0.25">
      <c r="A228" s="258" t="s">
        <v>513</v>
      </c>
      <c r="B228" s="258" t="s">
        <v>1825</v>
      </c>
      <c r="C228" s="49" t="s">
        <v>1290</v>
      </c>
      <c r="D228" s="106" t="s">
        <v>2504</v>
      </c>
    </row>
    <row r="229" spans="1:4" ht="68" customHeight="1" x14ac:dyDescent="0.25">
      <c r="A229" s="258" t="s">
        <v>1279</v>
      </c>
      <c r="B229" s="49" t="s">
        <v>2630</v>
      </c>
      <c r="C229" s="49" t="s">
        <v>2629</v>
      </c>
      <c r="D229" s="106" t="s">
        <v>2631</v>
      </c>
    </row>
    <row r="230" spans="1:4" x14ac:dyDescent="0.25">
      <c r="A230" s="258" t="s">
        <v>1812</v>
      </c>
      <c r="B230" s="258" t="s">
        <v>1570</v>
      </c>
      <c r="C230" s="258" t="s">
        <v>1638</v>
      </c>
      <c r="D230" s="106" t="s">
        <v>1570</v>
      </c>
    </row>
    <row r="231" spans="1:4" x14ac:dyDescent="0.25">
      <c r="A231" s="258" t="s">
        <v>1813</v>
      </c>
      <c r="B231" s="258" t="s">
        <v>1629</v>
      </c>
      <c r="C231" s="258" t="s">
        <v>1630</v>
      </c>
      <c r="D231" s="106" t="s">
        <v>2280</v>
      </c>
    </row>
    <row r="232" spans="1:4" x14ac:dyDescent="0.25">
      <c r="A232" s="258" t="s">
        <v>1814</v>
      </c>
      <c r="B232" s="258" t="s">
        <v>1631</v>
      </c>
      <c r="C232" s="258" t="s">
        <v>629</v>
      </c>
      <c r="D232" s="106" t="s">
        <v>2516</v>
      </c>
    </row>
    <row r="233" spans="1:4" x14ac:dyDescent="0.25">
      <c r="A233" s="258" t="s">
        <v>1815</v>
      </c>
      <c r="B233" s="258" t="s">
        <v>1291</v>
      </c>
      <c r="C233" s="258" t="s">
        <v>1517</v>
      </c>
      <c r="D233" s="106" t="s">
        <v>2517</v>
      </c>
    </row>
    <row r="234" spans="1:4" x14ac:dyDescent="0.25">
      <c r="A234" s="258" t="s">
        <v>1816</v>
      </c>
      <c r="B234" s="258" t="s">
        <v>1632</v>
      </c>
      <c r="C234" s="258" t="s">
        <v>1515</v>
      </c>
      <c r="D234" s="106" t="s">
        <v>2505</v>
      </c>
    </row>
    <row r="235" spans="1:4" x14ac:dyDescent="0.25">
      <c r="A235" s="258" t="s">
        <v>1817</v>
      </c>
      <c r="B235" s="258" t="s">
        <v>1571</v>
      </c>
      <c r="C235" s="258" t="s">
        <v>1516</v>
      </c>
      <c r="D235" s="106" t="s">
        <v>2506</v>
      </c>
    </row>
    <row r="236" spans="1:4" x14ac:dyDescent="0.25">
      <c r="A236" s="258" t="s">
        <v>1818</v>
      </c>
      <c r="B236" s="258" t="s">
        <v>1634</v>
      </c>
      <c r="C236" s="258" t="s">
        <v>1633</v>
      </c>
      <c r="D236" s="106" t="s">
        <v>2507</v>
      </c>
    </row>
    <row r="237" spans="1:4" x14ac:dyDescent="0.25">
      <c r="A237" s="258" t="s">
        <v>1819</v>
      </c>
      <c r="B237" s="258" t="s">
        <v>1826</v>
      </c>
      <c r="C237" s="258" t="s">
        <v>1827</v>
      </c>
      <c r="D237" s="106" t="s">
        <v>2508</v>
      </c>
    </row>
    <row r="238" spans="1:4" x14ac:dyDescent="0.25">
      <c r="A238" s="258" t="s">
        <v>1820</v>
      </c>
      <c r="B238" s="258" t="s">
        <v>1832</v>
      </c>
      <c r="C238" s="258" t="s">
        <v>1635</v>
      </c>
      <c r="D238" s="106" t="s">
        <v>2281</v>
      </c>
    </row>
    <row r="239" spans="1:4" x14ac:dyDescent="0.25">
      <c r="A239" s="258" t="s">
        <v>1821</v>
      </c>
      <c r="B239" s="258" t="s">
        <v>1836</v>
      </c>
      <c r="C239" s="258" t="s">
        <v>1835</v>
      </c>
      <c r="D239" s="106" t="s">
        <v>2509</v>
      </c>
    </row>
    <row r="240" spans="1:4" x14ac:dyDescent="0.25">
      <c r="A240" s="258" t="s">
        <v>1822</v>
      </c>
      <c r="B240" s="258" t="s">
        <v>1636</v>
      </c>
      <c r="C240" s="258" t="s">
        <v>1523</v>
      </c>
      <c r="D240" s="106" t="s">
        <v>2510</v>
      </c>
    </row>
    <row r="241" spans="1:4" x14ac:dyDescent="0.25">
      <c r="A241" s="258" t="s">
        <v>1831</v>
      </c>
      <c r="B241" s="258" t="s">
        <v>1829</v>
      </c>
      <c r="C241" s="258" t="s">
        <v>1830</v>
      </c>
      <c r="D241" s="106" t="s">
        <v>2511</v>
      </c>
    </row>
    <row r="242" spans="1:4" x14ac:dyDescent="0.25">
      <c r="A242" s="258" t="s">
        <v>1823</v>
      </c>
      <c r="B242" s="258" t="s">
        <v>1834</v>
      </c>
      <c r="C242" s="258" t="s">
        <v>1833</v>
      </c>
      <c r="D242" s="106" t="s">
        <v>2282</v>
      </c>
    </row>
    <row r="243" spans="1:4" x14ac:dyDescent="0.25">
      <c r="A243" s="258" t="s">
        <v>1824</v>
      </c>
      <c r="B243" s="258" t="s">
        <v>1637</v>
      </c>
      <c r="C243" s="258" t="s">
        <v>1828</v>
      </c>
      <c r="D243" s="106" t="s">
        <v>2512</v>
      </c>
    </row>
    <row r="244" spans="1:4" x14ac:dyDescent="0.25">
      <c r="A244" s="258" t="s">
        <v>1839</v>
      </c>
      <c r="B244" s="258" t="s">
        <v>1842</v>
      </c>
      <c r="C244" s="258" t="s">
        <v>1843</v>
      </c>
      <c r="D244" s="106" t="s">
        <v>2513</v>
      </c>
    </row>
    <row r="245" spans="1:4" x14ac:dyDescent="0.25">
      <c r="A245" s="258" t="s">
        <v>1840</v>
      </c>
      <c r="B245" s="258" t="s">
        <v>1845</v>
      </c>
      <c r="C245" s="258" t="s">
        <v>1844</v>
      </c>
      <c r="D245" s="106" t="s">
        <v>2514</v>
      </c>
    </row>
    <row r="246" spans="1:4" x14ac:dyDescent="0.25">
      <c r="A246" s="258" t="s">
        <v>1841</v>
      </c>
      <c r="B246" s="258" t="s">
        <v>1847</v>
      </c>
      <c r="C246" s="258" t="s">
        <v>1846</v>
      </c>
      <c r="D246" s="106" t="s">
        <v>2515</v>
      </c>
    </row>
    <row r="247" spans="1:4" x14ac:dyDescent="0.25">
      <c r="A247" s="49" t="s">
        <v>963</v>
      </c>
      <c r="B247" s="49" t="s">
        <v>1394</v>
      </c>
      <c r="C247" s="49" t="s">
        <v>952</v>
      </c>
      <c r="D247" s="106" t="s">
        <v>2024</v>
      </c>
    </row>
    <row r="248" spans="1:4" ht="46" x14ac:dyDescent="0.25">
      <c r="A248" s="49" t="s">
        <v>1481</v>
      </c>
      <c r="B248" s="49" t="s">
        <v>1482</v>
      </c>
      <c r="C248" s="49" t="s">
        <v>957</v>
      </c>
      <c r="D248" s="106" t="s">
        <v>2025</v>
      </c>
    </row>
    <row r="249" spans="1:4" ht="69" x14ac:dyDescent="0.25">
      <c r="A249" s="49" t="s">
        <v>1483</v>
      </c>
      <c r="B249" s="49" t="s">
        <v>1484</v>
      </c>
      <c r="C249" s="49" t="s">
        <v>2450</v>
      </c>
      <c r="D249" s="106" t="s">
        <v>2231</v>
      </c>
    </row>
    <row r="250" spans="1:4" ht="69" x14ac:dyDescent="0.25">
      <c r="A250" s="49" t="s">
        <v>1485</v>
      </c>
      <c r="B250" s="49" t="s">
        <v>1486</v>
      </c>
      <c r="C250" s="49" t="s">
        <v>1487</v>
      </c>
      <c r="D250" s="106" t="s">
        <v>2026</v>
      </c>
    </row>
    <row r="251" spans="1:4" ht="57.5" x14ac:dyDescent="0.25">
      <c r="A251" s="49" t="s">
        <v>1488</v>
      </c>
      <c r="B251" s="49" t="s">
        <v>1489</v>
      </c>
      <c r="C251" s="49" t="s">
        <v>1490</v>
      </c>
      <c r="D251" s="106" t="s">
        <v>2027</v>
      </c>
    </row>
    <row r="252" spans="1:4" x14ac:dyDescent="0.25">
      <c r="A252" s="49" t="s">
        <v>961</v>
      </c>
      <c r="B252" s="49" t="s">
        <v>1299</v>
      </c>
      <c r="C252" s="49" t="s">
        <v>950</v>
      </c>
      <c r="D252" s="106" t="s">
        <v>2028</v>
      </c>
    </row>
    <row r="253" spans="1:4" ht="80.5" x14ac:dyDescent="0.25">
      <c r="A253" s="49" t="s">
        <v>1461</v>
      </c>
      <c r="B253" s="49" t="s">
        <v>1462</v>
      </c>
      <c r="C253" s="49" t="s">
        <v>1463</v>
      </c>
      <c r="D253" s="106" t="s">
        <v>2029</v>
      </c>
    </row>
    <row r="254" spans="1:4" ht="92" x14ac:dyDescent="0.25">
      <c r="A254" s="49" t="s">
        <v>1464</v>
      </c>
      <c r="B254" s="49" t="s">
        <v>1465</v>
      </c>
      <c r="C254" s="49" t="s">
        <v>955</v>
      </c>
      <c r="D254" s="106" t="s">
        <v>2030</v>
      </c>
    </row>
    <row r="255" spans="1:4" ht="57.5" x14ac:dyDescent="0.25">
      <c r="A255" s="49" t="s">
        <v>1466</v>
      </c>
      <c r="B255" s="49" t="s">
        <v>1467</v>
      </c>
      <c r="C255" s="49" t="s">
        <v>1468</v>
      </c>
      <c r="D255" s="106" t="s">
        <v>2031</v>
      </c>
    </row>
    <row r="256" spans="1:4" ht="69" x14ac:dyDescent="0.25">
      <c r="A256" s="49" t="s">
        <v>1469</v>
      </c>
      <c r="B256" s="49" t="s">
        <v>1470</v>
      </c>
      <c r="C256" s="49" t="s">
        <v>1471</v>
      </c>
      <c r="D256" s="106" t="s">
        <v>2032</v>
      </c>
    </row>
    <row r="257" spans="1:4" x14ac:dyDescent="0.25">
      <c r="A257" s="49" t="s">
        <v>962</v>
      </c>
      <c r="B257" s="49" t="s">
        <v>1342</v>
      </c>
      <c r="C257" s="49" t="s">
        <v>951</v>
      </c>
      <c r="D257" s="106" t="s">
        <v>2033</v>
      </c>
    </row>
    <row r="258" spans="1:4" ht="69" x14ac:dyDescent="0.25">
      <c r="A258" s="49" t="s">
        <v>1472</v>
      </c>
      <c r="B258" s="49" t="s">
        <v>1473</v>
      </c>
      <c r="C258" s="49" t="s">
        <v>2577</v>
      </c>
      <c r="D258" s="106" t="s">
        <v>2034</v>
      </c>
    </row>
    <row r="259" spans="1:4" ht="80.5" x14ac:dyDescent="0.25">
      <c r="A259" s="49" t="s">
        <v>1474</v>
      </c>
      <c r="B259" s="49" t="s">
        <v>1475</v>
      </c>
      <c r="C259" s="49" t="s">
        <v>956</v>
      </c>
      <c r="D259" s="106" t="s">
        <v>2035</v>
      </c>
    </row>
    <row r="260" spans="1:4" ht="57.5" x14ac:dyDescent="0.25">
      <c r="A260" s="49" t="s">
        <v>1476</v>
      </c>
      <c r="B260" s="49" t="s">
        <v>1477</v>
      </c>
      <c r="C260" s="49" t="s">
        <v>2578</v>
      </c>
      <c r="D260" s="106" t="s">
        <v>2036</v>
      </c>
    </row>
    <row r="261" spans="1:4" ht="57.5" x14ac:dyDescent="0.25">
      <c r="A261" s="49" t="s">
        <v>1478</v>
      </c>
      <c r="B261" s="49" t="s">
        <v>1479</v>
      </c>
      <c r="C261" s="49" t="s">
        <v>1480</v>
      </c>
      <c r="D261" s="106" t="s">
        <v>2037</v>
      </c>
    </row>
    <row r="262" spans="1:4" x14ac:dyDescent="0.25">
      <c r="A262" s="49" t="s">
        <v>965</v>
      </c>
      <c r="B262" s="49" t="s">
        <v>1446</v>
      </c>
      <c r="C262" s="49" t="s">
        <v>954</v>
      </c>
      <c r="D262" s="106" t="s">
        <v>2038</v>
      </c>
    </row>
    <row r="263" spans="1:4" ht="46" x14ac:dyDescent="0.25">
      <c r="A263" s="49" t="s">
        <v>1500</v>
      </c>
      <c r="B263" s="49" t="s">
        <v>1501</v>
      </c>
      <c r="C263" s="49" t="s">
        <v>959</v>
      </c>
      <c r="D263" s="106" t="s">
        <v>2039</v>
      </c>
    </row>
    <row r="264" spans="1:4" ht="80.5" x14ac:dyDescent="0.25">
      <c r="A264" s="49" t="s">
        <v>1502</v>
      </c>
      <c r="B264" s="49" t="s">
        <v>1503</v>
      </c>
      <c r="C264" s="49" t="s">
        <v>2579</v>
      </c>
      <c r="D264" s="106" t="s">
        <v>2040</v>
      </c>
    </row>
    <row r="265" spans="1:4" ht="57.5" x14ac:dyDescent="0.25">
      <c r="A265" s="49" t="s">
        <v>1504</v>
      </c>
      <c r="B265" s="49" t="s">
        <v>1505</v>
      </c>
      <c r="C265" s="49" t="s">
        <v>1506</v>
      </c>
      <c r="D265" s="106" t="s">
        <v>2041</v>
      </c>
    </row>
    <row r="266" spans="1:4" ht="57.5" x14ac:dyDescent="0.25">
      <c r="A266" s="49" t="s">
        <v>1507</v>
      </c>
      <c r="B266" s="49" t="s">
        <v>1508</v>
      </c>
      <c r="C266" s="49" t="s">
        <v>1509</v>
      </c>
      <c r="D266" s="106" t="s">
        <v>2042</v>
      </c>
    </row>
    <row r="267" spans="1:4" x14ac:dyDescent="0.25">
      <c r="A267" s="49" t="s">
        <v>964</v>
      </c>
      <c r="B267" s="49" t="s">
        <v>1419</v>
      </c>
      <c r="C267" s="49" t="s">
        <v>953</v>
      </c>
      <c r="D267" s="106" t="s">
        <v>2043</v>
      </c>
    </row>
    <row r="268" spans="1:4" ht="46" x14ac:dyDescent="0.25">
      <c r="A268" s="49" t="s">
        <v>1491</v>
      </c>
      <c r="B268" s="49" t="s">
        <v>1492</v>
      </c>
      <c r="C268" s="49" t="s">
        <v>958</v>
      </c>
      <c r="D268" s="106" t="s">
        <v>2044</v>
      </c>
    </row>
    <row r="269" spans="1:4" ht="57.5" x14ac:dyDescent="0.25">
      <c r="A269" s="49" t="s">
        <v>1493</v>
      </c>
      <c r="B269" s="49" t="s">
        <v>1494</v>
      </c>
      <c r="C269" s="49" t="s">
        <v>1495</v>
      </c>
      <c r="D269" s="106" t="s">
        <v>2045</v>
      </c>
    </row>
    <row r="270" spans="1:4" ht="46" x14ac:dyDescent="0.25">
      <c r="A270" s="49" t="s">
        <v>1496</v>
      </c>
      <c r="B270" s="49" t="s">
        <v>1497</v>
      </c>
      <c r="C270" s="49" t="s">
        <v>2580</v>
      </c>
      <c r="D270" s="106" t="s">
        <v>2046</v>
      </c>
    </row>
    <row r="271" spans="1:4" ht="46" x14ac:dyDescent="0.25">
      <c r="A271" s="49" t="s">
        <v>1498</v>
      </c>
      <c r="B271" s="49" t="s">
        <v>1499</v>
      </c>
      <c r="C271" s="49" t="s">
        <v>2581</v>
      </c>
      <c r="D271" s="106" t="s">
        <v>2047</v>
      </c>
    </row>
    <row r="272" spans="1:4" x14ac:dyDescent="0.25">
      <c r="A272" s="257" t="s">
        <v>85</v>
      </c>
      <c r="B272" s="49" t="s">
        <v>676</v>
      </c>
      <c r="C272" s="105" t="s">
        <v>1778</v>
      </c>
      <c r="D272" s="106" t="s">
        <v>2724</v>
      </c>
    </row>
    <row r="273" spans="1:4" ht="69" x14ac:dyDescent="0.25">
      <c r="A273" s="257" t="s">
        <v>677</v>
      </c>
      <c r="B273" s="49" t="s">
        <v>678</v>
      </c>
      <c r="C273" s="49" t="s">
        <v>2440</v>
      </c>
      <c r="D273" s="106" t="s">
        <v>2725</v>
      </c>
    </row>
    <row r="274" spans="1:4" x14ac:dyDescent="0.25">
      <c r="A274" s="257" t="s">
        <v>141</v>
      </c>
      <c r="B274" s="49" t="s">
        <v>679</v>
      </c>
      <c r="C274" s="105" t="s">
        <v>680</v>
      </c>
      <c r="D274" s="106" t="s">
        <v>2048</v>
      </c>
    </row>
    <row r="275" spans="1:4" ht="92" x14ac:dyDescent="0.25">
      <c r="A275" s="257" t="s">
        <v>681</v>
      </c>
      <c r="B275" s="49" t="s">
        <v>682</v>
      </c>
      <c r="C275" s="49" t="s">
        <v>2441</v>
      </c>
      <c r="D275" s="106" t="s">
        <v>2049</v>
      </c>
    </row>
    <row r="276" spans="1:4" ht="23" x14ac:dyDescent="0.25">
      <c r="A276" s="257" t="s">
        <v>383</v>
      </c>
      <c r="B276" s="49" t="s">
        <v>683</v>
      </c>
      <c r="C276" s="49" t="s">
        <v>1666</v>
      </c>
      <c r="D276" s="106" t="s">
        <v>2050</v>
      </c>
    </row>
    <row r="277" spans="1:4" ht="23" x14ac:dyDescent="0.25">
      <c r="A277" s="257" t="s">
        <v>384</v>
      </c>
      <c r="B277" s="49" t="s">
        <v>684</v>
      </c>
      <c r="C277" s="49" t="s">
        <v>966</v>
      </c>
      <c r="D277" s="106" t="s">
        <v>2051</v>
      </c>
    </row>
    <row r="278" spans="1:4" ht="34.5" x14ac:dyDescent="0.25">
      <c r="A278" s="257" t="s">
        <v>385</v>
      </c>
      <c r="B278" s="49" t="s">
        <v>2442</v>
      </c>
      <c r="C278" s="49" t="s">
        <v>2443</v>
      </c>
      <c r="D278" s="106" t="s">
        <v>2052</v>
      </c>
    </row>
    <row r="279" spans="1:4" ht="34.5" x14ac:dyDescent="0.25">
      <c r="A279" s="257" t="s">
        <v>386</v>
      </c>
      <c r="B279" s="49" t="s">
        <v>685</v>
      </c>
      <c r="C279" s="49" t="s">
        <v>1805</v>
      </c>
      <c r="D279" s="106" t="s">
        <v>2053</v>
      </c>
    </row>
    <row r="280" spans="1:4" ht="23" x14ac:dyDescent="0.25">
      <c r="A280" s="257" t="s">
        <v>387</v>
      </c>
      <c r="B280" s="49" t="s">
        <v>686</v>
      </c>
      <c r="C280" s="49" t="s">
        <v>1806</v>
      </c>
      <c r="D280" s="106" t="s">
        <v>2727</v>
      </c>
    </row>
    <row r="281" spans="1:4" ht="23" x14ac:dyDescent="0.25">
      <c r="A281" s="257" t="s">
        <v>388</v>
      </c>
      <c r="B281" s="49" t="s">
        <v>687</v>
      </c>
      <c r="C281" s="49" t="s">
        <v>1808</v>
      </c>
      <c r="D281" s="106" t="s">
        <v>2054</v>
      </c>
    </row>
    <row r="282" spans="1:4" ht="34.5" x14ac:dyDescent="0.25">
      <c r="A282" s="257" t="s">
        <v>389</v>
      </c>
      <c r="B282" s="49" t="s">
        <v>688</v>
      </c>
      <c r="C282" s="49" t="s">
        <v>1807</v>
      </c>
      <c r="D282" s="106" t="s">
        <v>2055</v>
      </c>
    </row>
    <row r="283" spans="1:4" ht="23" x14ac:dyDescent="0.25">
      <c r="A283" s="257" t="s">
        <v>390</v>
      </c>
      <c r="B283" s="49" t="s">
        <v>689</v>
      </c>
      <c r="C283" s="49" t="s">
        <v>1688</v>
      </c>
      <c r="D283" s="106" t="s">
        <v>2056</v>
      </c>
    </row>
    <row r="284" spans="1:4" x14ac:dyDescent="0.25">
      <c r="A284" s="257" t="s">
        <v>144</v>
      </c>
      <c r="B284" s="49" t="s">
        <v>690</v>
      </c>
      <c r="C284" s="105" t="s">
        <v>1809</v>
      </c>
      <c r="D284" s="106" t="s">
        <v>2726</v>
      </c>
    </row>
    <row r="285" spans="1:4" ht="80.5" x14ac:dyDescent="0.25">
      <c r="A285" s="257" t="s">
        <v>691</v>
      </c>
      <c r="B285" s="49" t="s">
        <v>692</v>
      </c>
      <c r="C285" s="49" t="s">
        <v>1810</v>
      </c>
      <c r="D285" s="106" t="s">
        <v>2728</v>
      </c>
    </row>
    <row r="286" spans="1:4" ht="34.5" x14ac:dyDescent="0.25">
      <c r="A286" s="257" t="s">
        <v>391</v>
      </c>
      <c r="B286" s="49" t="s">
        <v>693</v>
      </c>
      <c r="C286" s="49" t="s">
        <v>2551</v>
      </c>
      <c r="D286" s="106" t="s">
        <v>2729</v>
      </c>
    </row>
    <row r="287" spans="1:4" ht="34.5" x14ac:dyDescent="0.25">
      <c r="A287" s="257" t="s">
        <v>392</v>
      </c>
      <c r="B287" s="49" t="s">
        <v>694</v>
      </c>
      <c r="C287" s="49" t="s">
        <v>2552</v>
      </c>
      <c r="D287" s="106" t="s">
        <v>2730</v>
      </c>
    </row>
    <row r="288" spans="1:4" ht="23" x14ac:dyDescent="0.25">
      <c r="A288" s="257" t="s">
        <v>393</v>
      </c>
      <c r="B288" s="49" t="s">
        <v>695</v>
      </c>
      <c r="C288" s="49" t="s">
        <v>1689</v>
      </c>
      <c r="D288" s="106" t="s">
        <v>2731</v>
      </c>
    </row>
    <row r="289" spans="1:4" ht="23" x14ac:dyDescent="0.25">
      <c r="A289" s="257" t="s">
        <v>394</v>
      </c>
      <c r="B289" s="49" t="s">
        <v>696</v>
      </c>
      <c r="C289" s="49" t="s">
        <v>1690</v>
      </c>
      <c r="D289" s="106" t="s">
        <v>2737</v>
      </c>
    </row>
    <row r="290" spans="1:4" ht="46" x14ac:dyDescent="0.25">
      <c r="A290" s="257" t="s">
        <v>395</v>
      </c>
      <c r="B290" s="49" t="s">
        <v>697</v>
      </c>
      <c r="C290" s="49" t="s">
        <v>1691</v>
      </c>
      <c r="D290" s="106" t="s">
        <v>2732</v>
      </c>
    </row>
    <row r="291" spans="1:4" ht="23" x14ac:dyDescent="0.25">
      <c r="A291" s="257" t="s">
        <v>396</v>
      </c>
      <c r="B291" s="49" t="s">
        <v>698</v>
      </c>
      <c r="C291" s="49" t="s">
        <v>1692</v>
      </c>
      <c r="D291" s="106" t="s">
        <v>2057</v>
      </c>
    </row>
    <row r="292" spans="1:4" ht="23" x14ac:dyDescent="0.25">
      <c r="A292" s="257" t="s">
        <v>397</v>
      </c>
      <c r="B292" s="49" t="s">
        <v>699</v>
      </c>
      <c r="C292" s="49" t="s">
        <v>1693</v>
      </c>
      <c r="D292" s="106" t="s">
        <v>2733</v>
      </c>
    </row>
    <row r="293" spans="1:4" ht="23" x14ac:dyDescent="0.25">
      <c r="A293" s="257" t="s">
        <v>398</v>
      </c>
      <c r="B293" s="49" t="s">
        <v>700</v>
      </c>
      <c r="C293" s="49" t="s">
        <v>1694</v>
      </c>
      <c r="D293" s="106" t="s">
        <v>2734</v>
      </c>
    </row>
    <row r="294" spans="1:4" ht="34.5" x14ac:dyDescent="0.25">
      <c r="A294" s="257" t="s">
        <v>399</v>
      </c>
      <c r="B294" s="49" t="s">
        <v>701</v>
      </c>
      <c r="C294" s="49" t="s">
        <v>1695</v>
      </c>
      <c r="D294" s="106" t="s">
        <v>2735</v>
      </c>
    </row>
    <row r="295" spans="1:4" s="53" customFormat="1" ht="46" x14ac:dyDescent="0.25">
      <c r="A295" s="257" t="s">
        <v>400</v>
      </c>
      <c r="B295" s="49" t="s">
        <v>702</v>
      </c>
      <c r="C295" s="49" t="s">
        <v>1696</v>
      </c>
      <c r="D295" s="106" t="s">
        <v>2738</v>
      </c>
    </row>
    <row r="296" spans="1:4" ht="23" x14ac:dyDescent="0.25">
      <c r="A296" s="257" t="s">
        <v>401</v>
      </c>
      <c r="B296" s="49" t="s">
        <v>1697</v>
      </c>
      <c r="C296" s="49" t="s">
        <v>1698</v>
      </c>
      <c r="D296" s="106" t="s">
        <v>2736</v>
      </c>
    </row>
    <row r="297" spans="1:4" ht="46" x14ac:dyDescent="0.25">
      <c r="A297" s="257" t="s">
        <v>402</v>
      </c>
      <c r="B297" s="49" t="s">
        <v>703</v>
      </c>
      <c r="C297" s="49" t="s">
        <v>2444</v>
      </c>
      <c r="D297" s="106" t="s">
        <v>2058</v>
      </c>
    </row>
    <row r="298" spans="1:4" x14ac:dyDescent="0.25">
      <c r="A298" s="257" t="s">
        <v>147</v>
      </c>
      <c r="B298" s="49" t="s">
        <v>704</v>
      </c>
      <c r="C298" s="105" t="s">
        <v>2445</v>
      </c>
      <c r="D298" s="106" t="s">
        <v>2059</v>
      </c>
    </row>
    <row r="299" spans="1:4" ht="92" x14ac:dyDescent="0.25">
      <c r="A299" s="257" t="s">
        <v>705</v>
      </c>
      <c r="B299" s="49" t="s">
        <v>706</v>
      </c>
      <c r="C299" s="49" t="s">
        <v>2446</v>
      </c>
      <c r="D299" s="106" t="s">
        <v>2232</v>
      </c>
    </row>
    <row r="300" spans="1:4" ht="34.5" x14ac:dyDescent="0.25">
      <c r="A300" s="257" t="s">
        <v>403</v>
      </c>
      <c r="B300" s="49" t="s">
        <v>707</v>
      </c>
      <c r="C300" s="49" t="s">
        <v>2553</v>
      </c>
      <c r="D300" s="106" t="s">
        <v>2233</v>
      </c>
    </row>
    <row r="301" spans="1:4" ht="34.5" x14ac:dyDescent="0.25">
      <c r="A301" s="257" t="s">
        <v>404</v>
      </c>
      <c r="B301" s="49" t="s">
        <v>708</v>
      </c>
      <c r="C301" s="49" t="s">
        <v>2554</v>
      </c>
      <c r="D301" s="106" t="s">
        <v>2060</v>
      </c>
    </row>
    <row r="302" spans="1:4" ht="23" x14ac:dyDescent="0.25">
      <c r="A302" s="257" t="s">
        <v>405</v>
      </c>
      <c r="B302" s="49" t="s">
        <v>709</v>
      </c>
      <c r="C302" s="49" t="s">
        <v>1699</v>
      </c>
      <c r="D302" s="106" t="s">
        <v>2234</v>
      </c>
    </row>
    <row r="303" spans="1:4" ht="34.5" x14ac:dyDescent="0.25">
      <c r="A303" s="257" t="s">
        <v>406</v>
      </c>
      <c r="B303" s="49" t="s">
        <v>710</v>
      </c>
      <c r="C303" s="49" t="s">
        <v>2447</v>
      </c>
      <c r="D303" s="106" t="s">
        <v>2061</v>
      </c>
    </row>
    <row r="304" spans="1:4" ht="46" x14ac:dyDescent="0.25">
      <c r="A304" s="257" t="s">
        <v>407</v>
      </c>
      <c r="B304" s="49" t="s">
        <v>711</v>
      </c>
      <c r="C304" s="49" t="s">
        <v>2582</v>
      </c>
      <c r="D304" s="106" t="s">
        <v>2062</v>
      </c>
    </row>
    <row r="305" spans="1:4" ht="34.5" x14ac:dyDescent="0.25">
      <c r="A305" s="257" t="s">
        <v>408</v>
      </c>
      <c r="B305" s="49" t="s">
        <v>712</v>
      </c>
      <c r="C305" s="49" t="s">
        <v>1700</v>
      </c>
      <c r="D305" s="106" t="s">
        <v>2063</v>
      </c>
    </row>
    <row r="306" spans="1:4" ht="34.5" x14ac:dyDescent="0.25">
      <c r="A306" s="257" t="s">
        <v>409</v>
      </c>
      <c r="B306" s="49" t="s">
        <v>713</v>
      </c>
      <c r="C306" s="49" t="s">
        <v>1746</v>
      </c>
      <c r="D306" s="106" t="s">
        <v>2064</v>
      </c>
    </row>
    <row r="307" spans="1:4" ht="46" x14ac:dyDescent="0.25">
      <c r="A307" s="257" t="s">
        <v>410</v>
      </c>
      <c r="B307" s="49" t="s">
        <v>714</v>
      </c>
      <c r="C307" s="49" t="s">
        <v>2448</v>
      </c>
      <c r="D307" s="106" t="s">
        <v>2235</v>
      </c>
    </row>
    <row r="308" spans="1:4" ht="23" x14ac:dyDescent="0.25">
      <c r="A308" s="257" t="s">
        <v>411</v>
      </c>
      <c r="B308" s="49" t="s">
        <v>715</v>
      </c>
      <c r="C308" s="49" t="s">
        <v>1752</v>
      </c>
      <c r="D308" s="106" t="s">
        <v>2065</v>
      </c>
    </row>
    <row r="309" spans="1:4" ht="34.5" x14ac:dyDescent="0.25">
      <c r="A309" s="257" t="s">
        <v>412</v>
      </c>
      <c r="B309" s="49" t="s">
        <v>716</v>
      </c>
      <c r="C309" s="49" t="s">
        <v>1701</v>
      </c>
      <c r="D309" s="106" t="s">
        <v>2066</v>
      </c>
    </row>
    <row r="310" spans="1:4" ht="34.5" x14ac:dyDescent="0.25">
      <c r="A310" s="257" t="s">
        <v>413</v>
      </c>
      <c r="B310" s="49" t="s">
        <v>717</v>
      </c>
      <c r="C310" s="49" t="s">
        <v>2449</v>
      </c>
      <c r="D310" s="106" t="s">
        <v>2067</v>
      </c>
    </row>
    <row r="311" spans="1:4" ht="23" x14ac:dyDescent="0.25">
      <c r="A311" s="257" t="s">
        <v>415</v>
      </c>
      <c r="B311" s="49" t="s">
        <v>718</v>
      </c>
      <c r="C311" s="49" t="s">
        <v>1660</v>
      </c>
      <c r="D311" s="106" t="s">
        <v>2236</v>
      </c>
    </row>
    <row r="312" spans="1:4" x14ac:dyDescent="0.25">
      <c r="A312" s="257" t="s">
        <v>417</v>
      </c>
      <c r="B312" s="49" t="s">
        <v>719</v>
      </c>
      <c r="C312" s="49" t="s">
        <v>1702</v>
      </c>
      <c r="D312" s="106" t="s">
        <v>2068</v>
      </c>
    </row>
    <row r="313" spans="1:4" x14ac:dyDescent="0.25">
      <c r="A313" s="257" t="s">
        <v>150</v>
      </c>
      <c r="B313" s="49" t="s">
        <v>481</v>
      </c>
      <c r="C313" s="105" t="s">
        <v>1758</v>
      </c>
      <c r="D313" s="106" t="s">
        <v>1872</v>
      </c>
    </row>
    <row r="314" spans="1:4" ht="69" x14ac:dyDescent="0.25">
      <c r="A314" s="257" t="s">
        <v>720</v>
      </c>
      <c r="B314" s="49" t="s">
        <v>483</v>
      </c>
      <c r="C314" s="49" t="s">
        <v>2565</v>
      </c>
      <c r="D314" s="106" t="s">
        <v>1873</v>
      </c>
    </row>
    <row r="315" spans="1:4" ht="23" x14ac:dyDescent="0.25">
      <c r="A315" s="257" t="s">
        <v>419</v>
      </c>
      <c r="B315" s="49" t="s">
        <v>721</v>
      </c>
      <c r="C315" s="49" t="s">
        <v>1780</v>
      </c>
      <c r="D315" s="106" t="s">
        <v>2069</v>
      </c>
    </row>
    <row r="316" spans="1:4" ht="23" x14ac:dyDescent="0.25">
      <c r="A316" s="257" t="s">
        <v>420</v>
      </c>
      <c r="B316" s="49" t="s">
        <v>1784</v>
      </c>
      <c r="C316" s="49" t="s">
        <v>1781</v>
      </c>
      <c r="D316" s="106" t="s">
        <v>2739</v>
      </c>
    </row>
    <row r="317" spans="1:4" ht="23" x14ac:dyDescent="0.25">
      <c r="A317" s="257" t="s">
        <v>421</v>
      </c>
      <c r="B317" s="49" t="s">
        <v>722</v>
      </c>
      <c r="C317" s="49" t="s">
        <v>1782</v>
      </c>
      <c r="D317" s="106" t="s">
        <v>2070</v>
      </c>
    </row>
    <row r="318" spans="1:4" ht="23" x14ac:dyDescent="0.25">
      <c r="A318" s="257" t="s">
        <v>422</v>
      </c>
      <c r="B318" s="49" t="s">
        <v>723</v>
      </c>
      <c r="C318" s="49" t="s">
        <v>2327</v>
      </c>
      <c r="D318" s="106" t="s">
        <v>2071</v>
      </c>
    </row>
    <row r="319" spans="1:4" ht="34.5" x14ac:dyDescent="0.25">
      <c r="A319" s="257" t="s">
        <v>423</v>
      </c>
      <c r="B319" s="49" t="s">
        <v>724</v>
      </c>
      <c r="C319" s="49" t="s">
        <v>2337</v>
      </c>
      <c r="D319" s="106" t="s">
        <v>2072</v>
      </c>
    </row>
    <row r="320" spans="1:4" ht="23" x14ac:dyDescent="0.25">
      <c r="A320" s="257" t="s">
        <v>424</v>
      </c>
      <c r="B320" s="49" t="s">
        <v>725</v>
      </c>
      <c r="C320" s="49" t="s">
        <v>1783</v>
      </c>
      <c r="D320" s="106" t="s">
        <v>2073</v>
      </c>
    </row>
    <row r="321" spans="1:4" ht="23" x14ac:dyDescent="0.25">
      <c r="A321" s="257" t="s">
        <v>1779</v>
      </c>
      <c r="B321" s="49" t="s">
        <v>726</v>
      </c>
      <c r="C321" s="49" t="s">
        <v>2347</v>
      </c>
      <c r="D321" s="106" t="s">
        <v>2074</v>
      </c>
    </row>
    <row r="322" spans="1:4" x14ac:dyDescent="0.25">
      <c r="A322" s="257" t="s">
        <v>74</v>
      </c>
      <c r="B322" s="49" t="s">
        <v>854</v>
      </c>
      <c r="C322" s="105" t="s">
        <v>1659</v>
      </c>
      <c r="D322" s="106" t="s">
        <v>2237</v>
      </c>
    </row>
    <row r="323" spans="1:4" ht="69" x14ac:dyDescent="0.25">
      <c r="A323" s="257" t="s">
        <v>855</v>
      </c>
      <c r="B323" s="49" t="s">
        <v>856</v>
      </c>
      <c r="C323" s="49" t="s">
        <v>2414</v>
      </c>
      <c r="D323" s="106" t="s">
        <v>2238</v>
      </c>
    </row>
    <row r="324" spans="1:4" s="53" customFormat="1" x14ac:dyDescent="0.25">
      <c r="A324" s="257" t="s">
        <v>96</v>
      </c>
      <c r="B324" s="49" t="s">
        <v>857</v>
      </c>
      <c r="C324" s="105" t="s">
        <v>1654</v>
      </c>
      <c r="D324" s="106" t="s">
        <v>2239</v>
      </c>
    </row>
    <row r="325" spans="1:4" ht="69" x14ac:dyDescent="0.25">
      <c r="A325" s="257" t="s">
        <v>858</v>
      </c>
      <c r="B325" s="49" t="s">
        <v>859</v>
      </c>
      <c r="C325" s="49" t="s">
        <v>2415</v>
      </c>
      <c r="D325" s="106" t="s">
        <v>2240</v>
      </c>
    </row>
    <row r="326" spans="1:4" ht="23" x14ac:dyDescent="0.25">
      <c r="A326" s="257" t="s">
        <v>256</v>
      </c>
      <c r="B326" s="49" t="s">
        <v>860</v>
      </c>
      <c r="C326" s="49" t="s">
        <v>2416</v>
      </c>
      <c r="D326" s="106" t="s">
        <v>2241</v>
      </c>
    </row>
    <row r="327" spans="1:4" ht="23" x14ac:dyDescent="0.25">
      <c r="A327" s="257" t="s">
        <v>257</v>
      </c>
      <c r="B327" s="49" t="s">
        <v>861</v>
      </c>
      <c r="C327" s="49" t="s">
        <v>2417</v>
      </c>
      <c r="D327" s="106" t="s">
        <v>2242</v>
      </c>
    </row>
    <row r="328" spans="1:4" ht="23" x14ac:dyDescent="0.25">
      <c r="A328" s="257" t="s">
        <v>258</v>
      </c>
      <c r="B328" s="49" t="s">
        <v>862</v>
      </c>
      <c r="C328" s="49" t="s">
        <v>1661</v>
      </c>
      <c r="D328" s="106" t="s">
        <v>2243</v>
      </c>
    </row>
    <row r="329" spans="1:4" ht="23" x14ac:dyDescent="0.25">
      <c r="A329" s="257" t="s">
        <v>259</v>
      </c>
      <c r="B329" s="49" t="s">
        <v>863</v>
      </c>
      <c r="C329" s="49" t="s">
        <v>864</v>
      </c>
      <c r="D329" s="106" t="s">
        <v>2244</v>
      </c>
    </row>
    <row r="330" spans="1:4" ht="34.5" x14ac:dyDescent="0.25">
      <c r="A330" s="257" t="s">
        <v>260</v>
      </c>
      <c r="B330" s="49" t="s">
        <v>865</v>
      </c>
      <c r="C330" s="49" t="s">
        <v>1703</v>
      </c>
      <c r="D330" s="106" t="s">
        <v>2245</v>
      </c>
    </row>
    <row r="331" spans="1:4" ht="23" x14ac:dyDescent="0.25">
      <c r="A331" s="257" t="s">
        <v>261</v>
      </c>
      <c r="B331" s="49" t="s">
        <v>866</v>
      </c>
      <c r="C331" s="49" t="s">
        <v>1704</v>
      </c>
      <c r="D331" s="106" t="s">
        <v>2246</v>
      </c>
    </row>
    <row r="332" spans="1:4" x14ac:dyDescent="0.25">
      <c r="A332" s="257" t="s">
        <v>98</v>
      </c>
      <c r="B332" s="49" t="s">
        <v>867</v>
      </c>
      <c r="C332" s="105" t="s">
        <v>2583</v>
      </c>
      <c r="D332" s="106" t="s">
        <v>2247</v>
      </c>
    </row>
    <row r="333" spans="1:4" ht="92" x14ac:dyDescent="0.25">
      <c r="A333" s="257" t="s">
        <v>868</v>
      </c>
      <c r="B333" s="49" t="s">
        <v>869</v>
      </c>
      <c r="C333" s="49" t="s">
        <v>2418</v>
      </c>
      <c r="D333" s="106" t="s">
        <v>2248</v>
      </c>
    </row>
    <row r="334" spans="1:4" ht="23" x14ac:dyDescent="0.25">
      <c r="A334" s="257" t="s">
        <v>262</v>
      </c>
      <c r="B334" s="49" t="s">
        <v>870</v>
      </c>
      <c r="C334" s="49" t="s">
        <v>2555</v>
      </c>
      <c r="D334" s="106" t="s">
        <v>2249</v>
      </c>
    </row>
    <row r="335" spans="1:4" ht="23" x14ac:dyDescent="0.25">
      <c r="A335" s="257" t="s">
        <v>263</v>
      </c>
      <c r="B335" s="49" t="s">
        <v>871</v>
      </c>
      <c r="C335" s="49" t="s">
        <v>2584</v>
      </c>
      <c r="D335" s="106" t="s">
        <v>2250</v>
      </c>
    </row>
    <row r="336" spans="1:4" ht="23" x14ac:dyDescent="0.25">
      <c r="A336" s="257" t="s">
        <v>264</v>
      </c>
      <c r="B336" s="49" t="s">
        <v>872</v>
      </c>
      <c r="C336" s="49" t="s">
        <v>2419</v>
      </c>
      <c r="D336" s="106" t="s">
        <v>2251</v>
      </c>
    </row>
    <row r="337" spans="1:4" ht="23" x14ac:dyDescent="0.25">
      <c r="A337" s="257" t="s">
        <v>265</v>
      </c>
      <c r="B337" s="49" t="s">
        <v>873</v>
      </c>
      <c r="C337" s="49" t="s">
        <v>2420</v>
      </c>
      <c r="D337" s="106" t="s">
        <v>2252</v>
      </c>
    </row>
    <row r="338" spans="1:4" x14ac:dyDescent="0.25">
      <c r="A338" s="257" t="s">
        <v>266</v>
      </c>
      <c r="B338" s="49" t="s">
        <v>874</v>
      </c>
      <c r="C338" s="49" t="s">
        <v>1705</v>
      </c>
      <c r="D338" s="106" t="s">
        <v>2253</v>
      </c>
    </row>
    <row r="339" spans="1:4" ht="34.5" x14ac:dyDescent="0.25">
      <c r="A339" s="257" t="s">
        <v>267</v>
      </c>
      <c r="B339" s="49" t="s">
        <v>875</v>
      </c>
      <c r="C339" s="49" t="s">
        <v>2421</v>
      </c>
      <c r="D339" s="106" t="s">
        <v>2254</v>
      </c>
    </row>
    <row r="340" spans="1:4" ht="46" x14ac:dyDescent="0.25">
      <c r="A340" s="257" t="s">
        <v>268</v>
      </c>
      <c r="B340" s="49" t="s">
        <v>876</v>
      </c>
      <c r="C340" s="49" t="s">
        <v>1728</v>
      </c>
      <c r="D340" s="106" t="s">
        <v>2255</v>
      </c>
    </row>
    <row r="341" spans="1:4" ht="23" x14ac:dyDescent="0.25">
      <c r="A341" s="257" t="s">
        <v>269</v>
      </c>
      <c r="B341" s="49" t="s">
        <v>877</v>
      </c>
      <c r="C341" s="49" t="s">
        <v>1706</v>
      </c>
      <c r="D341" s="106" t="s">
        <v>2075</v>
      </c>
    </row>
    <row r="342" spans="1:4" ht="23" x14ac:dyDescent="0.25">
      <c r="A342" s="257" t="s">
        <v>270</v>
      </c>
      <c r="B342" s="49" t="s">
        <v>878</v>
      </c>
      <c r="C342" s="49" t="s">
        <v>1707</v>
      </c>
      <c r="D342" s="106" t="s">
        <v>2256</v>
      </c>
    </row>
    <row r="343" spans="1:4" x14ac:dyDescent="0.25">
      <c r="A343" s="257" t="s">
        <v>100</v>
      </c>
      <c r="B343" s="49" t="s">
        <v>879</v>
      </c>
      <c r="C343" s="105" t="s">
        <v>1655</v>
      </c>
      <c r="D343" s="106" t="s">
        <v>2257</v>
      </c>
    </row>
    <row r="344" spans="1:4" ht="80.5" x14ac:dyDescent="0.25">
      <c r="A344" s="257" t="s">
        <v>880</v>
      </c>
      <c r="B344" s="49" t="s">
        <v>881</v>
      </c>
      <c r="C344" s="49" t="s">
        <v>2422</v>
      </c>
      <c r="D344" s="106" t="s">
        <v>2258</v>
      </c>
    </row>
    <row r="345" spans="1:4" ht="23" x14ac:dyDescent="0.25">
      <c r="A345" s="257" t="s">
        <v>271</v>
      </c>
      <c r="B345" s="49" t="s">
        <v>882</v>
      </c>
      <c r="C345" s="49" t="s">
        <v>2556</v>
      </c>
      <c r="D345" s="106" t="s">
        <v>2259</v>
      </c>
    </row>
    <row r="346" spans="1:4" ht="34.5" x14ac:dyDescent="0.25">
      <c r="A346" s="257" t="s">
        <v>272</v>
      </c>
      <c r="B346" s="49" t="s">
        <v>883</v>
      </c>
      <c r="C346" s="49" t="s">
        <v>1709</v>
      </c>
      <c r="D346" s="106" t="s">
        <v>2260</v>
      </c>
    </row>
    <row r="347" spans="1:4" ht="23" x14ac:dyDescent="0.25">
      <c r="A347" s="257" t="s">
        <v>273</v>
      </c>
      <c r="B347" s="49" t="s">
        <v>884</v>
      </c>
      <c r="C347" s="49" t="s">
        <v>1708</v>
      </c>
      <c r="D347" s="106" t="s">
        <v>2261</v>
      </c>
    </row>
    <row r="348" spans="1:4" ht="34.5" x14ac:dyDescent="0.25">
      <c r="A348" s="257" t="s">
        <v>274</v>
      </c>
      <c r="B348" s="49" t="s">
        <v>885</v>
      </c>
      <c r="C348" s="49" t="s">
        <v>2585</v>
      </c>
      <c r="D348" s="106" t="s">
        <v>2262</v>
      </c>
    </row>
    <row r="349" spans="1:4" ht="23" x14ac:dyDescent="0.25">
      <c r="A349" s="257" t="s">
        <v>275</v>
      </c>
      <c r="B349" s="49" t="s">
        <v>886</v>
      </c>
      <c r="C349" s="49" t="s">
        <v>1662</v>
      </c>
      <c r="D349" s="106" t="s">
        <v>2263</v>
      </c>
    </row>
    <row r="350" spans="1:4" ht="23" x14ac:dyDescent="0.25">
      <c r="A350" s="257" t="s">
        <v>276</v>
      </c>
      <c r="B350" s="49" t="s">
        <v>887</v>
      </c>
      <c r="C350" s="49" t="s">
        <v>1753</v>
      </c>
      <c r="D350" s="106" t="s">
        <v>2264</v>
      </c>
    </row>
    <row r="351" spans="1:4" ht="34.5" x14ac:dyDescent="0.25">
      <c r="A351" s="257" t="s">
        <v>277</v>
      </c>
      <c r="B351" s="49" t="s">
        <v>888</v>
      </c>
      <c r="C351" s="49" t="s">
        <v>1710</v>
      </c>
      <c r="D351" s="106" t="s">
        <v>2265</v>
      </c>
    </row>
    <row r="352" spans="1:4" ht="34.5" x14ac:dyDescent="0.25">
      <c r="A352" s="257" t="s">
        <v>278</v>
      </c>
      <c r="B352" s="49" t="s">
        <v>889</v>
      </c>
      <c r="C352" s="49" t="s">
        <v>1711</v>
      </c>
      <c r="D352" s="106" t="s">
        <v>2266</v>
      </c>
    </row>
    <row r="353" spans="1:4" ht="34.5" x14ac:dyDescent="0.25">
      <c r="A353" s="257" t="s">
        <v>279</v>
      </c>
      <c r="B353" s="49" t="s">
        <v>890</v>
      </c>
      <c r="C353" s="49" t="s">
        <v>2423</v>
      </c>
      <c r="D353" s="106" t="s">
        <v>2076</v>
      </c>
    </row>
    <row r="354" spans="1:4" ht="23" x14ac:dyDescent="0.25">
      <c r="A354" s="257" t="s">
        <v>281</v>
      </c>
      <c r="B354" s="49" t="s">
        <v>891</v>
      </c>
      <c r="C354" s="49" t="s">
        <v>2424</v>
      </c>
      <c r="D354" s="106" t="s">
        <v>2267</v>
      </c>
    </row>
    <row r="355" spans="1:4" x14ac:dyDescent="0.25">
      <c r="A355" s="257" t="s">
        <v>102</v>
      </c>
      <c r="B355" s="49" t="s">
        <v>481</v>
      </c>
      <c r="C355" s="105" t="s">
        <v>1758</v>
      </c>
      <c r="D355" s="106" t="s">
        <v>1872</v>
      </c>
    </row>
    <row r="356" spans="1:4" ht="69" x14ac:dyDescent="0.25">
      <c r="A356" s="257" t="s">
        <v>892</v>
      </c>
      <c r="B356" s="49" t="s">
        <v>483</v>
      </c>
      <c r="C356" s="49" t="s">
        <v>2565</v>
      </c>
      <c r="D356" s="106" t="s">
        <v>1873</v>
      </c>
    </row>
    <row r="357" spans="1:4" ht="23" x14ac:dyDescent="0.25">
      <c r="A357" s="257" t="s">
        <v>283</v>
      </c>
      <c r="B357" s="49" t="s">
        <v>893</v>
      </c>
      <c r="C357" s="49" t="s">
        <v>1785</v>
      </c>
      <c r="D357" s="106" t="s">
        <v>2077</v>
      </c>
    </row>
    <row r="358" spans="1:4" ht="23" x14ac:dyDescent="0.25">
      <c r="A358" s="257" t="s">
        <v>284</v>
      </c>
      <c r="B358" s="49" t="s">
        <v>894</v>
      </c>
      <c r="C358" s="49" t="s">
        <v>1786</v>
      </c>
      <c r="D358" s="106" t="s">
        <v>2078</v>
      </c>
    </row>
    <row r="359" spans="1:4" ht="23" x14ac:dyDescent="0.25">
      <c r="A359" s="257" t="s">
        <v>285</v>
      </c>
      <c r="B359" s="49" t="s">
        <v>895</v>
      </c>
      <c r="C359" s="49" t="s">
        <v>1787</v>
      </c>
      <c r="D359" s="106" t="s">
        <v>2079</v>
      </c>
    </row>
    <row r="360" spans="1:4" ht="23" x14ac:dyDescent="0.25">
      <c r="A360" s="257" t="s">
        <v>286</v>
      </c>
      <c r="B360" s="49" t="s">
        <v>896</v>
      </c>
      <c r="C360" s="49" t="s">
        <v>2328</v>
      </c>
      <c r="D360" s="106" t="s">
        <v>2080</v>
      </c>
    </row>
    <row r="361" spans="1:4" ht="34.5" x14ac:dyDescent="0.25">
      <c r="A361" s="257" t="s">
        <v>287</v>
      </c>
      <c r="B361" s="49" t="s">
        <v>897</v>
      </c>
      <c r="C361" s="49" t="s">
        <v>2338</v>
      </c>
      <c r="D361" s="106" t="s">
        <v>2081</v>
      </c>
    </row>
    <row r="362" spans="1:4" ht="23" x14ac:dyDescent="0.25">
      <c r="A362" s="257" t="s">
        <v>288</v>
      </c>
      <c r="B362" s="49" t="s">
        <v>898</v>
      </c>
      <c r="C362" s="49" t="s">
        <v>1788</v>
      </c>
      <c r="D362" s="106" t="s">
        <v>2082</v>
      </c>
    </row>
    <row r="363" spans="1:4" ht="23" x14ac:dyDescent="0.25">
      <c r="A363" s="257" t="s">
        <v>289</v>
      </c>
      <c r="B363" s="49" t="s">
        <v>899</v>
      </c>
      <c r="C363" s="49" t="s">
        <v>2348</v>
      </c>
      <c r="D363" s="106" t="s">
        <v>2083</v>
      </c>
    </row>
    <row r="364" spans="1:4" x14ac:dyDescent="0.25">
      <c r="A364" s="257" t="s">
        <v>0</v>
      </c>
      <c r="B364" s="105" t="s">
        <v>457</v>
      </c>
      <c r="C364" s="105" t="s">
        <v>1</v>
      </c>
      <c r="D364" s="106" t="s">
        <v>2084</v>
      </c>
    </row>
    <row r="365" spans="1:4" ht="69" x14ac:dyDescent="0.25">
      <c r="A365" s="257" t="s">
        <v>458</v>
      </c>
      <c r="B365" s="49" t="s">
        <v>459</v>
      </c>
      <c r="C365" s="49" t="s">
        <v>2586</v>
      </c>
      <c r="D365" s="106" t="s">
        <v>2085</v>
      </c>
    </row>
    <row r="366" spans="1:4" s="53" customFormat="1" x14ac:dyDescent="0.25">
      <c r="A366" s="257" t="s">
        <v>43</v>
      </c>
      <c r="B366" s="105" t="s">
        <v>460</v>
      </c>
      <c r="C366" s="105" t="s">
        <v>3</v>
      </c>
      <c r="D366" s="106" t="s">
        <v>2086</v>
      </c>
    </row>
    <row r="367" spans="1:4" ht="149.5" x14ac:dyDescent="0.25">
      <c r="A367" s="257" t="s">
        <v>461</v>
      </c>
      <c r="B367" s="49" t="s">
        <v>462</v>
      </c>
      <c r="C367" s="49" t="s">
        <v>2355</v>
      </c>
      <c r="D367" s="106" t="s">
        <v>2087</v>
      </c>
    </row>
    <row r="368" spans="1:4" ht="23" x14ac:dyDescent="0.25">
      <c r="A368" s="257" t="s">
        <v>44</v>
      </c>
      <c r="B368" s="49" t="s">
        <v>463</v>
      </c>
      <c r="C368" s="49" t="s">
        <v>2557</v>
      </c>
      <c r="D368" s="106" t="s">
        <v>2088</v>
      </c>
    </row>
    <row r="369" spans="1:4" ht="34.5" x14ac:dyDescent="0.25">
      <c r="A369" s="257" t="s">
        <v>45</v>
      </c>
      <c r="B369" s="49" t="s">
        <v>464</v>
      </c>
      <c r="C369" s="49" t="s">
        <v>2354</v>
      </c>
      <c r="D369" s="106" t="s">
        <v>2089</v>
      </c>
    </row>
    <row r="370" spans="1:4" ht="46" x14ac:dyDescent="0.25">
      <c r="A370" s="257" t="s">
        <v>46</v>
      </c>
      <c r="B370" s="49" t="s">
        <v>465</v>
      </c>
      <c r="C370" s="49" t="s">
        <v>2587</v>
      </c>
      <c r="D370" s="106" t="s">
        <v>2090</v>
      </c>
    </row>
    <row r="371" spans="1:4" ht="23" x14ac:dyDescent="0.25">
      <c r="A371" s="257" t="s">
        <v>48</v>
      </c>
      <c r="B371" s="49" t="s">
        <v>466</v>
      </c>
      <c r="C371" s="49" t="s">
        <v>2353</v>
      </c>
      <c r="D371" s="106" t="s">
        <v>2091</v>
      </c>
    </row>
    <row r="372" spans="1:4" ht="23" x14ac:dyDescent="0.25">
      <c r="A372" s="257" t="s">
        <v>50</v>
      </c>
      <c r="B372" s="49" t="s">
        <v>467</v>
      </c>
      <c r="C372" s="49" t="s">
        <v>2314</v>
      </c>
      <c r="D372" s="106" t="s">
        <v>2092</v>
      </c>
    </row>
    <row r="373" spans="1:4" ht="34.5" x14ac:dyDescent="0.25">
      <c r="A373" s="257" t="s">
        <v>52</v>
      </c>
      <c r="B373" s="49" t="s">
        <v>468</v>
      </c>
      <c r="C373" s="49" t="s">
        <v>2315</v>
      </c>
      <c r="D373" s="106" t="s">
        <v>2093</v>
      </c>
    </row>
    <row r="374" spans="1:4" ht="23" x14ac:dyDescent="0.25">
      <c r="A374" s="257" t="s">
        <v>54</v>
      </c>
      <c r="B374" s="49" t="s">
        <v>469</v>
      </c>
      <c r="C374" s="49" t="s">
        <v>2316</v>
      </c>
      <c r="D374" s="106" t="s">
        <v>2094</v>
      </c>
    </row>
    <row r="375" spans="1:4" ht="34.5" x14ac:dyDescent="0.25">
      <c r="A375" s="257" t="s">
        <v>56</v>
      </c>
      <c r="B375" s="49" t="s">
        <v>470</v>
      </c>
      <c r="C375" s="49" t="s">
        <v>2317</v>
      </c>
      <c r="D375" s="106" t="s">
        <v>2095</v>
      </c>
    </row>
    <row r="376" spans="1:4" ht="23" x14ac:dyDescent="0.25">
      <c r="A376" s="257" t="s">
        <v>58</v>
      </c>
      <c r="B376" s="49" t="s">
        <v>471</v>
      </c>
      <c r="C376" s="49" t="s">
        <v>2318</v>
      </c>
      <c r="D376" s="106" t="s">
        <v>2096</v>
      </c>
    </row>
    <row r="377" spans="1:4" ht="23" x14ac:dyDescent="0.25">
      <c r="A377" s="257" t="s">
        <v>61</v>
      </c>
      <c r="B377" s="49" t="s">
        <v>472</v>
      </c>
      <c r="C377" s="49" t="s">
        <v>2319</v>
      </c>
      <c r="D377" s="106" t="s">
        <v>2097</v>
      </c>
    </row>
    <row r="378" spans="1:4" x14ac:dyDescent="0.25">
      <c r="A378" s="257" t="s">
        <v>47</v>
      </c>
      <c r="B378" s="105" t="s">
        <v>473</v>
      </c>
      <c r="C378" s="105" t="s">
        <v>2320</v>
      </c>
      <c r="D378" s="106" t="s">
        <v>2098</v>
      </c>
    </row>
    <row r="379" spans="1:4" ht="126.5" x14ac:dyDescent="0.25">
      <c r="A379" s="257" t="s">
        <v>474</v>
      </c>
      <c r="B379" s="49" t="s">
        <v>475</v>
      </c>
      <c r="C379" s="49" t="s">
        <v>2356</v>
      </c>
      <c r="D379" s="106" t="s">
        <v>2099</v>
      </c>
    </row>
    <row r="380" spans="1:4" ht="23" x14ac:dyDescent="0.25">
      <c r="A380" s="257" t="s">
        <v>63</v>
      </c>
      <c r="B380" s="49" t="s">
        <v>476</v>
      </c>
      <c r="C380" s="49" t="s">
        <v>2321</v>
      </c>
      <c r="D380" s="106" t="s">
        <v>2100</v>
      </c>
    </row>
    <row r="381" spans="1:4" ht="46" x14ac:dyDescent="0.25">
      <c r="A381" s="257" t="s">
        <v>65</v>
      </c>
      <c r="B381" s="49" t="s">
        <v>477</v>
      </c>
      <c r="C381" s="49" t="s">
        <v>2357</v>
      </c>
      <c r="D381" s="106" t="s">
        <v>2101</v>
      </c>
    </row>
    <row r="382" spans="1:4" ht="23" x14ac:dyDescent="0.25">
      <c r="A382" s="257" t="s">
        <v>67</v>
      </c>
      <c r="B382" s="49" t="s">
        <v>478</v>
      </c>
      <c r="C382" s="49" t="s">
        <v>2358</v>
      </c>
      <c r="D382" s="106" t="s">
        <v>2102</v>
      </c>
    </row>
    <row r="383" spans="1:4" ht="23" x14ac:dyDescent="0.25">
      <c r="A383" s="257" t="s">
        <v>70</v>
      </c>
      <c r="B383" s="49" t="s">
        <v>479</v>
      </c>
      <c r="C383" s="49" t="s">
        <v>2322</v>
      </c>
      <c r="D383" s="106" t="s">
        <v>2103</v>
      </c>
    </row>
    <row r="384" spans="1:4" ht="46" x14ac:dyDescent="0.25">
      <c r="A384" s="257" t="s">
        <v>73</v>
      </c>
      <c r="B384" s="49" t="s">
        <v>480</v>
      </c>
      <c r="C384" s="49" t="s">
        <v>2359</v>
      </c>
      <c r="D384" s="106" t="s">
        <v>2104</v>
      </c>
    </row>
    <row r="385" spans="1:4" x14ac:dyDescent="0.25">
      <c r="A385" s="257" t="s">
        <v>49</v>
      </c>
      <c r="B385" s="105" t="s">
        <v>481</v>
      </c>
      <c r="C385" s="105" t="s">
        <v>1758</v>
      </c>
      <c r="D385" s="106" t="s">
        <v>1872</v>
      </c>
    </row>
    <row r="386" spans="1:4" ht="69" x14ac:dyDescent="0.25">
      <c r="A386" s="257" t="s">
        <v>482</v>
      </c>
      <c r="B386" s="49" t="s">
        <v>483</v>
      </c>
      <c r="C386" s="49" t="s">
        <v>2565</v>
      </c>
      <c r="D386" s="106" t="s">
        <v>1873</v>
      </c>
    </row>
    <row r="387" spans="1:4" ht="23" x14ac:dyDescent="0.25">
      <c r="A387" s="257" t="s">
        <v>75</v>
      </c>
      <c r="B387" s="49" t="s">
        <v>484</v>
      </c>
      <c r="C387" s="49" t="s">
        <v>1789</v>
      </c>
      <c r="D387" s="106" t="s">
        <v>2105</v>
      </c>
    </row>
    <row r="388" spans="1:4" ht="23" x14ac:dyDescent="0.25">
      <c r="A388" s="257" t="s">
        <v>78</v>
      </c>
      <c r="B388" s="49" t="s">
        <v>485</v>
      </c>
      <c r="C388" s="49" t="s">
        <v>1790</v>
      </c>
      <c r="D388" s="106" t="s">
        <v>2106</v>
      </c>
    </row>
    <row r="389" spans="1:4" ht="23" x14ac:dyDescent="0.25">
      <c r="A389" s="257" t="s">
        <v>81</v>
      </c>
      <c r="B389" s="49" t="s">
        <v>486</v>
      </c>
      <c r="C389" s="49" t="s">
        <v>1791</v>
      </c>
      <c r="D389" s="106" t="s">
        <v>2107</v>
      </c>
    </row>
    <row r="390" spans="1:4" ht="23" x14ac:dyDescent="0.25">
      <c r="A390" s="257" t="s">
        <v>84</v>
      </c>
      <c r="B390" s="49" t="s">
        <v>487</v>
      </c>
      <c r="C390" s="49" t="s">
        <v>2329</v>
      </c>
      <c r="D390" s="106" t="s">
        <v>2108</v>
      </c>
    </row>
    <row r="391" spans="1:4" ht="34.5" x14ac:dyDescent="0.25">
      <c r="A391" s="257" t="s">
        <v>86</v>
      </c>
      <c r="B391" s="49" t="s">
        <v>488</v>
      </c>
      <c r="C391" s="49" t="s">
        <v>2339</v>
      </c>
      <c r="D391" s="106" t="s">
        <v>2109</v>
      </c>
    </row>
    <row r="392" spans="1:4" ht="23" x14ac:dyDescent="0.25">
      <c r="A392" s="257" t="s">
        <v>88</v>
      </c>
      <c r="B392" s="49" t="s">
        <v>489</v>
      </c>
      <c r="C392" s="49" t="s">
        <v>1792</v>
      </c>
      <c r="D392" s="106" t="s">
        <v>2110</v>
      </c>
    </row>
    <row r="393" spans="1:4" ht="23" x14ac:dyDescent="0.25">
      <c r="A393" s="257" t="s">
        <v>90</v>
      </c>
      <c r="B393" s="49" t="s">
        <v>490</v>
      </c>
      <c r="C393" s="49" t="s">
        <v>2349</v>
      </c>
      <c r="D393" s="106" t="s">
        <v>2111</v>
      </c>
    </row>
    <row r="394" spans="1:4" x14ac:dyDescent="0.25">
      <c r="A394" s="257" t="s">
        <v>72</v>
      </c>
      <c r="B394" s="49" t="s">
        <v>809</v>
      </c>
      <c r="C394" s="105" t="s">
        <v>810</v>
      </c>
      <c r="D394" s="106" t="s">
        <v>2112</v>
      </c>
    </row>
    <row r="395" spans="1:4" ht="69" x14ac:dyDescent="0.25">
      <c r="A395" s="257" t="s">
        <v>811</v>
      </c>
      <c r="B395" s="49" t="s">
        <v>812</v>
      </c>
      <c r="C395" s="49" t="s">
        <v>2405</v>
      </c>
      <c r="D395" s="106" t="s">
        <v>2113</v>
      </c>
    </row>
    <row r="396" spans="1:4" s="53" customFormat="1" x14ac:dyDescent="0.25">
      <c r="A396" s="257" t="s">
        <v>87</v>
      </c>
      <c r="B396" s="49" t="s">
        <v>813</v>
      </c>
      <c r="C396" s="105" t="s">
        <v>1656</v>
      </c>
      <c r="D396" s="106" t="s">
        <v>2114</v>
      </c>
    </row>
    <row r="397" spans="1:4" ht="46" x14ac:dyDescent="0.25">
      <c r="A397" s="257" t="s">
        <v>814</v>
      </c>
      <c r="B397" s="49" t="s">
        <v>815</v>
      </c>
      <c r="C397" s="49" t="s">
        <v>2406</v>
      </c>
      <c r="D397" s="106" t="s">
        <v>2115</v>
      </c>
    </row>
    <row r="398" spans="1:4" ht="23" x14ac:dyDescent="0.25">
      <c r="A398" s="257" t="s">
        <v>225</v>
      </c>
      <c r="B398" s="49" t="s">
        <v>816</v>
      </c>
      <c r="C398" s="49" t="s">
        <v>1747</v>
      </c>
      <c r="D398" s="106" t="s">
        <v>2116</v>
      </c>
    </row>
    <row r="399" spans="1:4" ht="23" x14ac:dyDescent="0.25">
      <c r="A399" s="257" t="s">
        <v>226</v>
      </c>
      <c r="B399" s="49" t="s">
        <v>817</v>
      </c>
      <c r="C399" s="49" t="s">
        <v>1748</v>
      </c>
      <c r="D399" s="106" t="s">
        <v>2117</v>
      </c>
    </row>
    <row r="400" spans="1:4" x14ac:dyDescent="0.25">
      <c r="A400" s="257" t="s">
        <v>227</v>
      </c>
      <c r="B400" s="49" t="s">
        <v>818</v>
      </c>
      <c r="C400" s="49" t="s">
        <v>819</v>
      </c>
      <c r="D400" s="106" t="s">
        <v>2118</v>
      </c>
    </row>
    <row r="401" spans="1:4" ht="23" x14ac:dyDescent="0.25">
      <c r="A401" s="257" t="s">
        <v>228</v>
      </c>
      <c r="B401" s="49" t="s">
        <v>820</v>
      </c>
      <c r="C401" s="49" t="s">
        <v>821</v>
      </c>
      <c r="D401" s="106" t="s">
        <v>2119</v>
      </c>
    </row>
    <row r="402" spans="1:4" x14ac:dyDescent="0.25">
      <c r="A402" s="257" t="s">
        <v>89</v>
      </c>
      <c r="B402" s="49" t="s">
        <v>822</v>
      </c>
      <c r="C402" s="105" t="s">
        <v>1657</v>
      </c>
      <c r="D402" s="106" t="s">
        <v>2120</v>
      </c>
    </row>
    <row r="403" spans="1:4" ht="34.5" x14ac:dyDescent="0.25">
      <c r="A403" s="257" t="s">
        <v>823</v>
      </c>
      <c r="B403" s="49" t="s">
        <v>824</v>
      </c>
      <c r="C403" s="49" t="s">
        <v>2407</v>
      </c>
      <c r="D403" s="106" t="s">
        <v>2121</v>
      </c>
    </row>
    <row r="404" spans="1:4" ht="23" x14ac:dyDescent="0.25">
      <c r="A404" s="257" t="s">
        <v>229</v>
      </c>
      <c r="B404" s="49" t="s">
        <v>825</v>
      </c>
      <c r="C404" s="49" t="s">
        <v>2588</v>
      </c>
      <c r="D404" s="106" t="s">
        <v>2122</v>
      </c>
    </row>
    <row r="405" spans="1:4" ht="34.5" x14ac:dyDescent="0.25">
      <c r="A405" s="257" t="s">
        <v>230</v>
      </c>
      <c r="B405" s="49" t="s">
        <v>826</v>
      </c>
      <c r="C405" s="49" t="s">
        <v>2408</v>
      </c>
      <c r="D405" s="106" t="s">
        <v>2268</v>
      </c>
    </row>
    <row r="406" spans="1:4" ht="23" x14ac:dyDescent="0.25">
      <c r="A406" s="257" t="s">
        <v>231</v>
      </c>
      <c r="B406" s="49" t="s">
        <v>827</v>
      </c>
      <c r="C406" s="49" t="s">
        <v>1712</v>
      </c>
      <c r="D406" s="106" t="s">
        <v>2123</v>
      </c>
    </row>
    <row r="407" spans="1:4" s="53" customFormat="1" ht="46" x14ac:dyDescent="0.25">
      <c r="A407" s="257" t="s">
        <v>232</v>
      </c>
      <c r="B407" s="49" t="s">
        <v>828</v>
      </c>
      <c r="C407" s="49" t="s">
        <v>2409</v>
      </c>
      <c r="D407" s="106" t="s">
        <v>2269</v>
      </c>
    </row>
    <row r="408" spans="1:4" ht="23" x14ac:dyDescent="0.25">
      <c r="A408" s="257" t="s">
        <v>233</v>
      </c>
      <c r="B408" s="49" t="s">
        <v>829</v>
      </c>
      <c r="C408" s="49" t="s">
        <v>1713</v>
      </c>
      <c r="D408" s="106" t="s">
        <v>2270</v>
      </c>
    </row>
    <row r="409" spans="1:4" x14ac:dyDescent="0.25">
      <c r="A409" s="257" t="s">
        <v>234</v>
      </c>
      <c r="B409" s="49" t="s">
        <v>830</v>
      </c>
      <c r="C409" s="49" t="s">
        <v>2410</v>
      </c>
      <c r="D409" s="106" t="s">
        <v>2124</v>
      </c>
    </row>
    <row r="410" spans="1:4" ht="23" x14ac:dyDescent="0.25">
      <c r="A410" s="257" t="s">
        <v>235</v>
      </c>
      <c r="B410" s="49" t="s">
        <v>831</v>
      </c>
      <c r="C410" s="49" t="s">
        <v>2411</v>
      </c>
      <c r="D410" s="106" t="s">
        <v>2125</v>
      </c>
    </row>
    <row r="411" spans="1:4" ht="23" x14ac:dyDescent="0.25">
      <c r="A411" s="257" t="s">
        <v>236</v>
      </c>
      <c r="B411" s="49" t="s">
        <v>832</v>
      </c>
      <c r="C411" s="49" t="s">
        <v>2589</v>
      </c>
      <c r="D411" s="106" t="s">
        <v>2126</v>
      </c>
    </row>
    <row r="412" spans="1:4" ht="23" x14ac:dyDescent="0.25">
      <c r="A412" s="257" t="s">
        <v>237</v>
      </c>
      <c r="B412" s="49" t="s">
        <v>833</v>
      </c>
      <c r="C412" s="49" t="s">
        <v>1715</v>
      </c>
      <c r="D412" s="106" t="s">
        <v>2127</v>
      </c>
    </row>
    <row r="413" spans="1:4" ht="23" x14ac:dyDescent="0.25">
      <c r="A413" s="257" t="s">
        <v>238</v>
      </c>
      <c r="B413" s="49" t="s">
        <v>834</v>
      </c>
      <c r="C413" s="49" t="s">
        <v>1714</v>
      </c>
      <c r="D413" s="106" t="s">
        <v>2128</v>
      </c>
    </row>
    <row r="414" spans="1:4" x14ac:dyDescent="0.25">
      <c r="A414" s="257" t="s">
        <v>91</v>
      </c>
      <c r="B414" s="49" t="s">
        <v>835</v>
      </c>
      <c r="C414" s="105" t="s">
        <v>2412</v>
      </c>
      <c r="D414" s="106" t="s">
        <v>2129</v>
      </c>
    </row>
    <row r="415" spans="1:4" ht="69" x14ac:dyDescent="0.25">
      <c r="A415" s="257" t="s">
        <v>836</v>
      </c>
      <c r="B415" s="49" t="s">
        <v>837</v>
      </c>
      <c r="C415" s="49" t="s">
        <v>1620</v>
      </c>
      <c r="D415" s="106" t="s">
        <v>2130</v>
      </c>
    </row>
    <row r="416" spans="1:4" ht="23" x14ac:dyDescent="0.25">
      <c r="A416" s="257" t="s">
        <v>239</v>
      </c>
      <c r="B416" s="49" t="s">
        <v>838</v>
      </c>
      <c r="C416" s="49" t="s">
        <v>1716</v>
      </c>
      <c r="D416" s="106" t="s">
        <v>2131</v>
      </c>
    </row>
    <row r="417" spans="1:4" ht="23" x14ac:dyDescent="0.25">
      <c r="A417" s="257" t="s">
        <v>240</v>
      </c>
      <c r="B417" s="49" t="s">
        <v>839</v>
      </c>
      <c r="C417" s="49" t="s">
        <v>1720</v>
      </c>
      <c r="D417" s="106" t="s">
        <v>2132</v>
      </c>
    </row>
    <row r="418" spans="1:4" ht="23" x14ac:dyDescent="0.25">
      <c r="A418" s="257" t="s">
        <v>241</v>
      </c>
      <c r="B418" s="49" t="s">
        <v>840</v>
      </c>
      <c r="C418" s="49" t="s">
        <v>1719</v>
      </c>
      <c r="D418" s="106" t="s">
        <v>2133</v>
      </c>
    </row>
    <row r="419" spans="1:4" ht="57.5" x14ac:dyDescent="0.25">
      <c r="A419" s="257" t="s">
        <v>242</v>
      </c>
      <c r="B419" s="49" t="s">
        <v>841</v>
      </c>
      <c r="C419" s="49" t="s">
        <v>1756</v>
      </c>
      <c r="D419" s="106" t="s">
        <v>2134</v>
      </c>
    </row>
    <row r="420" spans="1:4" ht="34.5" x14ac:dyDescent="0.25">
      <c r="A420" s="257" t="s">
        <v>243</v>
      </c>
      <c r="B420" s="49" t="s">
        <v>842</v>
      </c>
      <c r="C420" s="49" t="s">
        <v>1717</v>
      </c>
      <c r="D420" s="106" t="s">
        <v>2135</v>
      </c>
    </row>
    <row r="421" spans="1:4" ht="23" x14ac:dyDescent="0.25">
      <c r="A421" s="257" t="s">
        <v>244</v>
      </c>
      <c r="B421" s="49" t="s">
        <v>843</v>
      </c>
      <c r="C421" s="49" t="s">
        <v>1718</v>
      </c>
      <c r="D421" s="106" t="s">
        <v>2136</v>
      </c>
    </row>
    <row r="422" spans="1:4" ht="34.5" x14ac:dyDescent="0.25">
      <c r="A422" s="257" t="s">
        <v>245</v>
      </c>
      <c r="B422" s="49" t="s">
        <v>844</v>
      </c>
      <c r="C422" s="49" t="s">
        <v>1621</v>
      </c>
      <c r="D422" s="106" t="s">
        <v>2137</v>
      </c>
    </row>
    <row r="423" spans="1:4" ht="34.5" x14ac:dyDescent="0.25">
      <c r="A423" s="257" t="s">
        <v>246</v>
      </c>
      <c r="B423" s="49" t="s">
        <v>845</v>
      </c>
      <c r="C423" s="49" t="s">
        <v>2413</v>
      </c>
      <c r="D423" s="106" t="s">
        <v>2138</v>
      </c>
    </row>
    <row r="424" spans="1:4" x14ac:dyDescent="0.25">
      <c r="A424" s="257" t="s">
        <v>93</v>
      </c>
      <c r="B424" s="49" t="s">
        <v>481</v>
      </c>
      <c r="C424" s="105" t="s">
        <v>1758</v>
      </c>
      <c r="D424" s="106" t="s">
        <v>1872</v>
      </c>
    </row>
    <row r="425" spans="1:4" ht="69" x14ac:dyDescent="0.25">
      <c r="A425" s="257" t="s">
        <v>846</v>
      </c>
      <c r="B425" s="49" t="s">
        <v>483</v>
      </c>
      <c r="C425" s="49" t="s">
        <v>2565</v>
      </c>
      <c r="D425" s="106" t="s">
        <v>1873</v>
      </c>
    </row>
    <row r="426" spans="1:4" ht="23" x14ac:dyDescent="0.25">
      <c r="A426" s="257" t="s">
        <v>248</v>
      </c>
      <c r="B426" s="49" t="s">
        <v>847</v>
      </c>
      <c r="C426" s="49" t="s">
        <v>1793</v>
      </c>
      <c r="D426" s="106" t="s">
        <v>2139</v>
      </c>
    </row>
    <row r="427" spans="1:4" ht="23" x14ac:dyDescent="0.25">
      <c r="A427" s="257" t="s">
        <v>249</v>
      </c>
      <c r="B427" s="49" t="s">
        <v>848</v>
      </c>
      <c r="C427" s="49" t="s">
        <v>1794</v>
      </c>
      <c r="D427" s="106" t="s">
        <v>2140</v>
      </c>
    </row>
    <row r="428" spans="1:4" ht="23" x14ac:dyDescent="0.25">
      <c r="A428" s="257" t="s">
        <v>250</v>
      </c>
      <c r="B428" s="49" t="s">
        <v>849</v>
      </c>
      <c r="C428" s="49" t="s">
        <v>1795</v>
      </c>
      <c r="D428" s="106" t="s">
        <v>2141</v>
      </c>
    </row>
    <row r="429" spans="1:4" ht="23" x14ac:dyDescent="0.25">
      <c r="A429" s="257" t="s">
        <v>251</v>
      </c>
      <c r="B429" s="49" t="s">
        <v>850</v>
      </c>
      <c r="C429" s="49" t="s">
        <v>2330</v>
      </c>
      <c r="D429" s="106" t="s">
        <v>2142</v>
      </c>
    </row>
    <row r="430" spans="1:4" ht="34.5" x14ac:dyDescent="0.25">
      <c r="A430" s="257" t="s">
        <v>252</v>
      </c>
      <c r="B430" s="49" t="s">
        <v>851</v>
      </c>
      <c r="C430" s="49" t="s">
        <v>2340</v>
      </c>
      <c r="D430" s="106" t="s">
        <v>2143</v>
      </c>
    </row>
    <row r="431" spans="1:4" ht="23" x14ac:dyDescent="0.25">
      <c r="A431" s="257" t="s">
        <v>253</v>
      </c>
      <c r="B431" s="49" t="s">
        <v>852</v>
      </c>
      <c r="C431" s="49" t="s">
        <v>1796</v>
      </c>
      <c r="D431" s="106" t="s">
        <v>2144</v>
      </c>
    </row>
    <row r="432" spans="1:4" ht="23" x14ac:dyDescent="0.25">
      <c r="A432" s="257" t="s">
        <v>254</v>
      </c>
      <c r="B432" s="49" t="s">
        <v>853</v>
      </c>
      <c r="C432" s="49" t="s">
        <v>2350</v>
      </c>
      <c r="D432" s="106" t="s">
        <v>2145</v>
      </c>
    </row>
    <row r="433" spans="1:4" x14ac:dyDescent="0.25">
      <c r="A433" s="257" t="s">
        <v>69</v>
      </c>
      <c r="B433" s="49" t="s">
        <v>764</v>
      </c>
      <c r="C433" s="105" t="s">
        <v>765</v>
      </c>
      <c r="D433" s="106" t="s">
        <v>2146</v>
      </c>
    </row>
    <row r="434" spans="1:4" ht="69" x14ac:dyDescent="0.25">
      <c r="A434" s="257" t="s">
        <v>766</v>
      </c>
      <c r="B434" s="49" t="s">
        <v>767</v>
      </c>
      <c r="C434" s="49" t="s">
        <v>2397</v>
      </c>
      <c r="D434" s="106" t="s">
        <v>2147</v>
      </c>
    </row>
    <row r="435" spans="1:4" s="53" customFormat="1" x14ac:dyDescent="0.25">
      <c r="A435" s="257" t="s">
        <v>76</v>
      </c>
      <c r="B435" s="49" t="s">
        <v>768</v>
      </c>
      <c r="C435" s="105" t="s">
        <v>769</v>
      </c>
      <c r="D435" s="106" t="s">
        <v>2148</v>
      </c>
    </row>
    <row r="436" spans="1:4" ht="92" x14ac:dyDescent="0.25">
      <c r="A436" s="257" t="s">
        <v>770</v>
      </c>
      <c r="B436" s="49" t="s">
        <v>771</v>
      </c>
      <c r="C436" s="49" t="s">
        <v>2398</v>
      </c>
      <c r="D436" s="106" t="s">
        <v>2149</v>
      </c>
    </row>
    <row r="437" spans="1:4" ht="34.5" x14ac:dyDescent="0.25">
      <c r="A437" s="257" t="s">
        <v>186</v>
      </c>
      <c r="B437" s="49" t="s">
        <v>772</v>
      </c>
      <c r="C437" s="49" t="s">
        <v>2399</v>
      </c>
      <c r="D437" s="106" t="s">
        <v>2150</v>
      </c>
    </row>
    <row r="438" spans="1:4" ht="23" x14ac:dyDescent="0.25">
      <c r="A438" s="257" t="s">
        <v>187</v>
      </c>
      <c r="B438" s="49" t="s">
        <v>773</v>
      </c>
      <c r="C438" s="49" t="s">
        <v>1721</v>
      </c>
      <c r="D438" s="106" t="s">
        <v>2151</v>
      </c>
    </row>
    <row r="439" spans="1:4" ht="34.5" x14ac:dyDescent="0.25">
      <c r="A439" s="257" t="s">
        <v>188</v>
      </c>
      <c r="B439" s="49" t="s">
        <v>774</v>
      </c>
      <c r="C439" s="49" t="s">
        <v>1722</v>
      </c>
      <c r="D439" s="106" t="s">
        <v>2152</v>
      </c>
    </row>
    <row r="440" spans="1:4" ht="34.5" x14ac:dyDescent="0.25">
      <c r="A440" s="257" t="s">
        <v>189</v>
      </c>
      <c r="B440" s="49" t="s">
        <v>775</v>
      </c>
      <c r="C440" s="49" t="s">
        <v>2400</v>
      </c>
      <c r="D440" s="106" t="s">
        <v>2153</v>
      </c>
    </row>
    <row r="441" spans="1:4" ht="23" x14ac:dyDescent="0.25">
      <c r="A441" s="257" t="s">
        <v>190</v>
      </c>
      <c r="B441" s="49" t="s">
        <v>776</v>
      </c>
      <c r="C441" s="49" t="s">
        <v>2401</v>
      </c>
      <c r="D441" s="106" t="s">
        <v>2154</v>
      </c>
    </row>
    <row r="442" spans="1:4" x14ac:dyDescent="0.25">
      <c r="A442" s="257" t="s">
        <v>191</v>
      </c>
      <c r="B442" s="49" t="s">
        <v>777</v>
      </c>
      <c r="C442" s="49" t="s">
        <v>1723</v>
      </c>
      <c r="D442" s="106" t="s">
        <v>2155</v>
      </c>
    </row>
    <row r="443" spans="1:4" ht="23" x14ac:dyDescent="0.25">
      <c r="A443" s="257" t="s">
        <v>192</v>
      </c>
      <c r="B443" s="49" t="s">
        <v>778</v>
      </c>
      <c r="C443" s="49" t="s">
        <v>2402</v>
      </c>
      <c r="D443" s="106" t="s">
        <v>2156</v>
      </c>
    </row>
    <row r="444" spans="1:4" x14ac:dyDescent="0.25">
      <c r="A444" s="257" t="s">
        <v>193</v>
      </c>
      <c r="B444" s="49" t="s">
        <v>779</v>
      </c>
      <c r="C444" s="49" t="s">
        <v>780</v>
      </c>
      <c r="D444" s="106" t="s">
        <v>2157</v>
      </c>
    </row>
    <row r="445" spans="1:4" ht="23" x14ac:dyDescent="0.25">
      <c r="A445" s="257" t="s">
        <v>194</v>
      </c>
      <c r="B445" s="49" t="s">
        <v>781</v>
      </c>
      <c r="C445" s="49" t="s">
        <v>1724</v>
      </c>
      <c r="D445" s="106" t="s">
        <v>2158</v>
      </c>
    </row>
    <row r="446" spans="1:4" ht="34.5" x14ac:dyDescent="0.25">
      <c r="A446" s="257" t="s">
        <v>195</v>
      </c>
      <c r="B446" s="49" t="s">
        <v>782</v>
      </c>
      <c r="C446" s="49" t="s">
        <v>1725</v>
      </c>
      <c r="D446" s="106" t="s">
        <v>2159</v>
      </c>
    </row>
    <row r="447" spans="1:4" ht="57.5" x14ac:dyDescent="0.25">
      <c r="A447" s="257" t="s">
        <v>196</v>
      </c>
      <c r="B447" s="49" t="s">
        <v>783</v>
      </c>
      <c r="C447" s="49" t="s">
        <v>1727</v>
      </c>
      <c r="D447" s="106" t="s">
        <v>2160</v>
      </c>
    </row>
    <row r="448" spans="1:4" ht="23" x14ac:dyDescent="0.25">
      <c r="A448" s="257" t="s">
        <v>198</v>
      </c>
      <c r="B448" s="49" t="s">
        <v>784</v>
      </c>
      <c r="C448" s="49" t="s">
        <v>1726</v>
      </c>
      <c r="D448" s="106" t="s">
        <v>2161</v>
      </c>
    </row>
    <row r="449" spans="1:4" x14ac:dyDescent="0.25">
      <c r="A449" s="257" t="s">
        <v>79</v>
      </c>
      <c r="B449" s="49" t="s">
        <v>785</v>
      </c>
      <c r="C449" s="105" t="s">
        <v>1811</v>
      </c>
      <c r="D449" s="106" t="s">
        <v>2162</v>
      </c>
    </row>
    <row r="450" spans="1:4" ht="103.5" x14ac:dyDescent="0.25">
      <c r="A450" s="257" t="s">
        <v>786</v>
      </c>
      <c r="B450" s="49" t="s">
        <v>787</v>
      </c>
      <c r="C450" s="49" t="s">
        <v>2403</v>
      </c>
      <c r="D450" s="106" t="s">
        <v>2163</v>
      </c>
    </row>
    <row r="451" spans="1:4" ht="34.5" x14ac:dyDescent="0.25">
      <c r="A451" s="257" t="s">
        <v>200</v>
      </c>
      <c r="B451" s="49" t="s">
        <v>788</v>
      </c>
      <c r="C451" s="49" t="s">
        <v>1729</v>
      </c>
      <c r="D451" s="106" t="s">
        <v>2164</v>
      </c>
    </row>
    <row r="452" spans="1:4" ht="23" x14ac:dyDescent="0.25">
      <c r="A452" s="257" t="s">
        <v>201</v>
      </c>
      <c r="B452" s="49" t="s">
        <v>789</v>
      </c>
      <c r="C452" s="49" t="s">
        <v>1730</v>
      </c>
      <c r="D452" s="106" t="s">
        <v>2165</v>
      </c>
    </row>
    <row r="453" spans="1:4" ht="34.5" x14ac:dyDescent="0.25">
      <c r="A453" s="257" t="s">
        <v>202</v>
      </c>
      <c r="B453" s="49" t="s">
        <v>790</v>
      </c>
      <c r="C453" s="49" t="s">
        <v>1731</v>
      </c>
      <c r="D453" s="106" t="s">
        <v>2166</v>
      </c>
    </row>
    <row r="454" spans="1:4" ht="34.5" x14ac:dyDescent="0.25">
      <c r="A454" s="257" t="s">
        <v>203</v>
      </c>
      <c r="B454" s="49" t="s">
        <v>791</v>
      </c>
      <c r="C454" s="49" t="s">
        <v>2404</v>
      </c>
      <c r="D454" s="106" t="s">
        <v>2167</v>
      </c>
    </row>
    <row r="455" spans="1:4" ht="23" x14ac:dyDescent="0.25">
      <c r="A455" s="257" t="s">
        <v>204</v>
      </c>
      <c r="B455" s="49" t="s">
        <v>792</v>
      </c>
      <c r="C455" s="49" t="s">
        <v>1749</v>
      </c>
      <c r="D455" s="106" t="s">
        <v>2168</v>
      </c>
    </row>
    <row r="456" spans="1:4" ht="23" x14ac:dyDescent="0.25">
      <c r="A456" s="257" t="s">
        <v>205</v>
      </c>
      <c r="B456" s="49" t="s">
        <v>793</v>
      </c>
      <c r="C456" s="49" t="s">
        <v>1755</v>
      </c>
      <c r="D456" s="106" t="s">
        <v>2169</v>
      </c>
    </row>
    <row r="457" spans="1:4" ht="46" x14ac:dyDescent="0.25">
      <c r="A457" s="257" t="s">
        <v>206</v>
      </c>
      <c r="B457" s="49" t="s">
        <v>794</v>
      </c>
      <c r="C457" s="49" t="s">
        <v>1732</v>
      </c>
      <c r="D457" s="106" t="s">
        <v>2170</v>
      </c>
    </row>
    <row r="458" spans="1:4" ht="23" x14ac:dyDescent="0.25">
      <c r="A458" s="257" t="s">
        <v>207</v>
      </c>
      <c r="B458" s="49" t="s">
        <v>795</v>
      </c>
      <c r="C458" s="49" t="s">
        <v>975</v>
      </c>
      <c r="D458" s="106" t="s">
        <v>2171</v>
      </c>
    </row>
    <row r="459" spans="1:4" ht="23" x14ac:dyDescent="0.25">
      <c r="A459" s="257" t="s">
        <v>208</v>
      </c>
      <c r="B459" s="49" t="s">
        <v>796</v>
      </c>
      <c r="C459" s="49" t="s">
        <v>1733</v>
      </c>
      <c r="D459" s="106" t="s">
        <v>2172</v>
      </c>
    </row>
    <row r="460" spans="1:4" ht="34.5" x14ac:dyDescent="0.25">
      <c r="A460" s="257" t="s">
        <v>210</v>
      </c>
      <c r="B460" s="49" t="s">
        <v>797</v>
      </c>
      <c r="C460" s="49" t="s">
        <v>1757</v>
      </c>
      <c r="D460" s="106" t="s">
        <v>2173</v>
      </c>
    </row>
    <row r="461" spans="1:4" ht="23" x14ac:dyDescent="0.25">
      <c r="A461" s="257" t="s">
        <v>212</v>
      </c>
      <c r="B461" s="49" t="s">
        <v>798</v>
      </c>
      <c r="C461" s="49" t="s">
        <v>1734</v>
      </c>
      <c r="D461" s="106" t="s">
        <v>2174</v>
      </c>
    </row>
    <row r="462" spans="1:4" ht="23" x14ac:dyDescent="0.25">
      <c r="A462" s="257" t="s">
        <v>214</v>
      </c>
      <c r="B462" s="49" t="s">
        <v>799</v>
      </c>
      <c r="C462" s="49" t="s">
        <v>1735</v>
      </c>
      <c r="D462" s="106" t="s">
        <v>2175</v>
      </c>
    </row>
    <row r="463" spans="1:4" ht="34.5" x14ac:dyDescent="0.25">
      <c r="A463" s="257" t="s">
        <v>216</v>
      </c>
      <c r="B463" s="49" t="s">
        <v>800</v>
      </c>
      <c r="C463" s="49" t="s">
        <v>1736</v>
      </c>
      <c r="D463" s="106" t="s">
        <v>2176</v>
      </c>
    </row>
    <row r="464" spans="1:4" x14ac:dyDescent="0.25">
      <c r="A464" s="257" t="s">
        <v>82</v>
      </c>
      <c r="B464" s="49" t="s">
        <v>481</v>
      </c>
      <c r="C464" s="105" t="s">
        <v>1758</v>
      </c>
      <c r="D464" s="106" t="s">
        <v>1872</v>
      </c>
    </row>
    <row r="465" spans="1:4" ht="69" x14ac:dyDescent="0.25">
      <c r="A465" s="257" t="s">
        <v>801</v>
      </c>
      <c r="B465" s="49" t="s">
        <v>483</v>
      </c>
      <c r="C465" s="49" t="s">
        <v>2565</v>
      </c>
      <c r="D465" s="106" t="s">
        <v>1873</v>
      </c>
    </row>
    <row r="466" spans="1:4" ht="23" x14ac:dyDescent="0.25">
      <c r="A466" s="257" t="s">
        <v>218</v>
      </c>
      <c r="B466" s="49" t="s">
        <v>802</v>
      </c>
      <c r="C466" s="49" t="s">
        <v>1797</v>
      </c>
      <c r="D466" s="106" t="s">
        <v>2177</v>
      </c>
    </row>
    <row r="467" spans="1:4" ht="23" x14ac:dyDescent="0.25">
      <c r="A467" s="257" t="s">
        <v>219</v>
      </c>
      <c r="B467" s="49" t="s">
        <v>803</v>
      </c>
      <c r="C467" s="49" t="s">
        <v>1798</v>
      </c>
      <c r="D467" s="106" t="s">
        <v>2178</v>
      </c>
    </row>
    <row r="468" spans="1:4" ht="23" x14ac:dyDescent="0.25">
      <c r="A468" s="257" t="s">
        <v>220</v>
      </c>
      <c r="B468" s="49" t="s">
        <v>804</v>
      </c>
      <c r="C468" s="49" t="s">
        <v>1799</v>
      </c>
      <c r="D468" s="106" t="s">
        <v>2179</v>
      </c>
    </row>
    <row r="469" spans="1:4" ht="23" x14ac:dyDescent="0.25">
      <c r="A469" s="257" t="s">
        <v>221</v>
      </c>
      <c r="B469" s="49" t="s">
        <v>805</v>
      </c>
      <c r="C469" s="49" t="s">
        <v>2331</v>
      </c>
      <c r="D469" s="106" t="s">
        <v>2180</v>
      </c>
    </row>
    <row r="470" spans="1:4" ht="34.5" x14ac:dyDescent="0.25">
      <c r="A470" s="257" t="s">
        <v>222</v>
      </c>
      <c r="B470" s="49" t="s">
        <v>806</v>
      </c>
      <c r="C470" s="49" t="s">
        <v>2341</v>
      </c>
      <c r="D470" s="106" t="s">
        <v>2181</v>
      </c>
    </row>
    <row r="471" spans="1:4" ht="23" x14ac:dyDescent="0.25">
      <c r="A471" s="257" t="s">
        <v>223</v>
      </c>
      <c r="B471" s="49" t="s">
        <v>807</v>
      </c>
      <c r="C471" s="49" t="s">
        <v>1800</v>
      </c>
      <c r="D471" s="106" t="s">
        <v>2182</v>
      </c>
    </row>
    <row r="472" spans="1:4" ht="23" x14ac:dyDescent="0.25">
      <c r="A472" s="257" t="s">
        <v>224</v>
      </c>
      <c r="B472" s="49" t="s">
        <v>808</v>
      </c>
      <c r="C472" s="49" t="s">
        <v>2351</v>
      </c>
      <c r="D472" s="106" t="s">
        <v>2183</v>
      </c>
    </row>
    <row r="473" spans="1:4" x14ac:dyDescent="0.25">
      <c r="A473" s="257" t="s">
        <v>80</v>
      </c>
      <c r="B473" s="49" t="s">
        <v>900</v>
      </c>
      <c r="C473" s="105" t="s">
        <v>2425</v>
      </c>
      <c r="D473" s="106" t="s">
        <v>2184</v>
      </c>
    </row>
    <row r="474" spans="1:4" ht="69" x14ac:dyDescent="0.25">
      <c r="A474" s="257" t="s">
        <v>901</v>
      </c>
      <c r="B474" s="49" t="s">
        <v>902</v>
      </c>
      <c r="C474" s="49" t="s">
        <v>2426</v>
      </c>
      <c r="D474" s="106" t="s">
        <v>2185</v>
      </c>
    </row>
    <row r="475" spans="1:4" x14ac:dyDescent="0.25">
      <c r="A475" s="257" t="s">
        <v>113</v>
      </c>
      <c r="B475" s="49" t="s">
        <v>903</v>
      </c>
      <c r="C475" s="105" t="s">
        <v>1663</v>
      </c>
      <c r="D475" s="106" t="s">
        <v>2186</v>
      </c>
    </row>
    <row r="476" spans="1:4" ht="92" x14ac:dyDescent="0.25">
      <c r="A476" s="257" t="s">
        <v>904</v>
      </c>
      <c r="B476" s="49" t="s">
        <v>905</v>
      </c>
      <c r="C476" s="49" t="s">
        <v>2427</v>
      </c>
      <c r="D476" s="106" t="s">
        <v>2187</v>
      </c>
    </row>
    <row r="477" spans="1:4" ht="23" x14ac:dyDescent="0.25">
      <c r="A477" s="257" t="s">
        <v>319</v>
      </c>
      <c r="B477" s="49" t="s">
        <v>906</v>
      </c>
      <c r="C477" s="49" t="s">
        <v>2558</v>
      </c>
      <c r="D477" s="106" t="s">
        <v>2188</v>
      </c>
    </row>
    <row r="478" spans="1:4" ht="23" x14ac:dyDescent="0.25">
      <c r="A478" s="257" t="s">
        <v>320</v>
      </c>
      <c r="B478" s="49" t="s">
        <v>907</v>
      </c>
      <c r="C478" s="49" t="s">
        <v>2559</v>
      </c>
      <c r="D478" s="106" t="s">
        <v>2189</v>
      </c>
    </row>
    <row r="479" spans="1:4" ht="34.5" x14ac:dyDescent="0.25">
      <c r="A479" s="257" t="s">
        <v>321</v>
      </c>
      <c r="B479" s="49" t="s">
        <v>908</v>
      </c>
      <c r="C479" s="49" t="s">
        <v>2428</v>
      </c>
      <c r="D479" s="106" t="s">
        <v>2190</v>
      </c>
    </row>
    <row r="480" spans="1:4" ht="23" x14ac:dyDescent="0.25">
      <c r="A480" s="257" t="s">
        <v>322</v>
      </c>
      <c r="B480" s="49" t="s">
        <v>909</v>
      </c>
      <c r="C480" s="49" t="s">
        <v>1641</v>
      </c>
      <c r="D480" s="106" t="s">
        <v>2191</v>
      </c>
    </row>
    <row r="481" spans="1:4" ht="34.5" x14ac:dyDescent="0.25">
      <c r="A481" s="257" t="s">
        <v>323</v>
      </c>
      <c r="B481" s="49" t="s">
        <v>910</v>
      </c>
      <c r="C481" s="49" t="s">
        <v>1642</v>
      </c>
      <c r="D481" s="106" t="s">
        <v>2192</v>
      </c>
    </row>
    <row r="482" spans="1:4" ht="34.5" x14ac:dyDescent="0.25">
      <c r="A482" s="257" t="s">
        <v>324</v>
      </c>
      <c r="B482" s="49" t="s">
        <v>911</v>
      </c>
      <c r="C482" s="49" t="s">
        <v>2429</v>
      </c>
      <c r="D482" s="106" t="s">
        <v>2193</v>
      </c>
    </row>
    <row r="483" spans="1:4" x14ac:dyDescent="0.25">
      <c r="A483" s="257" t="s">
        <v>115</v>
      </c>
      <c r="B483" s="49" t="s">
        <v>912</v>
      </c>
      <c r="C483" s="105" t="s">
        <v>1658</v>
      </c>
      <c r="D483" s="106" t="s">
        <v>2194</v>
      </c>
    </row>
    <row r="484" spans="1:4" ht="115" x14ac:dyDescent="0.25">
      <c r="A484" s="257" t="s">
        <v>913</v>
      </c>
      <c r="B484" s="49" t="s">
        <v>914</v>
      </c>
      <c r="C484" s="49" t="s">
        <v>2430</v>
      </c>
      <c r="D484" s="106" t="s">
        <v>2195</v>
      </c>
    </row>
    <row r="485" spans="1:4" ht="34.5" x14ac:dyDescent="0.25">
      <c r="A485" s="257" t="s">
        <v>325</v>
      </c>
      <c r="B485" s="49" t="s">
        <v>915</v>
      </c>
      <c r="C485" s="49" t="s">
        <v>2560</v>
      </c>
      <c r="D485" s="106" t="s">
        <v>2196</v>
      </c>
    </row>
    <row r="486" spans="1:4" ht="46" x14ac:dyDescent="0.25">
      <c r="A486" s="257" t="s">
        <v>326</v>
      </c>
      <c r="B486" s="49" t="s">
        <v>916</v>
      </c>
      <c r="C486" s="49" t="s">
        <v>2431</v>
      </c>
      <c r="D486" s="106" t="s">
        <v>2197</v>
      </c>
    </row>
    <row r="487" spans="1:4" ht="23" x14ac:dyDescent="0.25">
      <c r="A487" s="257" t="s">
        <v>327</v>
      </c>
      <c r="B487" s="49" t="s">
        <v>917</v>
      </c>
      <c r="C487" s="49" t="s">
        <v>1737</v>
      </c>
      <c r="D487" s="106" t="s">
        <v>2198</v>
      </c>
    </row>
    <row r="488" spans="1:4" ht="34.5" x14ac:dyDescent="0.25">
      <c r="A488" s="257" t="s">
        <v>328</v>
      </c>
      <c r="B488" s="49" t="s">
        <v>1643</v>
      </c>
      <c r="C488" s="49" t="s">
        <v>1741</v>
      </c>
      <c r="D488" s="106" t="s">
        <v>2199</v>
      </c>
    </row>
    <row r="489" spans="1:4" ht="23" x14ac:dyDescent="0.25">
      <c r="A489" s="257" t="s">
        <v>329</v>
      </c>
      <c r="B489" s="49" t="s">
        <v>918</v>
      </c>
      <c r="C489" s="49" t="s">
        <v>2432</v>
      </c>
      <c r="D489" s="106" t="s">
        <v>2200</v>
      </c>
    </row>
    <row r="490" spans="1:4" ht="23" x14ac:dyDescent="0.25">
      <c r="A490" s="257" t="s">
        <v>330</v>
      </c>
      <c r="B490" s="49" t="s">
        <v>919</v>
      </c>
      <c r="C490" s="49" t="s">
        <v>1644</v>
      </c>
      <c r="D490" s="106" t="s">
        <v>2201</v>
      </c>
    </row>
    <row r="491" spans="1:4" x14ac:dyDescent="0.25">
      <c r="A491" s="257" t="s">
        <v>117</v>
      </c>
      <c r="B491" s="49" t="s">
        <v>920</v>
      </c>
      <c r="C491" s="105" t="s">
        <v>2433</v>
      </c>
      <c r="D491" s="106" t="s">
        <v>2202</v>
      </c>
    </row>
    <row r="492" spans="1:4" ht="92" x14ac:dyDescent="0.25">
      <c r="A492" s="257" t="s">
        <v>921</v>
      </c>
      <c r="B492" s="49" t="s">
        <v>922</v>
      </c>
      <c r="C492" s="49" t="s">
        <v>2434</v>
      </c>
      <c r="D492" s="106" t="s">
        <v>2203</v>
      </c>
    </row>
    <row r="493" spans="1:4" ht="46" x14ac:dyDescent="0.25">
      <c r="A493" s="257" t="s">
        <v>331</v>
      </c>
      <c r="B493" s="49" t="s">
        <v>923</v>
      </c>
      <c r="C493" s="49" t="s">
        <v>2561</v>
      </c>
      <c r="D493" s="106" t="s">
        <v>2204</v>
      </c>
    </row>
    <row r="494" spans="1:4" ht="23" x14ac:dyDescent="0.25">
      <c r="A494" s="257" t="s">
        <v>332</v>
      </c>
      <c r="B494" s="49" t="s">
        <v>924</v>
      </c>
      <c r="C494" s="49" t="s">
        <v>2562</v>
      </c>
      <c r="D494" s="106" t="s">
        <v>2205</v>
      </c>
    </row>
    <row r="495" spans="1:4" ht="34.5" x14ac:dyDescent="0.25">
      <c r="A495" s="257" t="s">
        <v>333</v>
      </c>
      <c r="B495" s="49" t="s">
        <v>925</v>
      </c>
      <c r="C495" s="49" t="s">
        <v>1742</v>
      </c>
      <c r="D495" s="106" t="s">
        <v>2206</v>
      </c>
    </row>
    <row r="496" spans="1:4" ht="23" x14ac:dyDescent="0.25">
      <c r="A496" s="257" t="s">
        <v>334</v>
      </c>
      <c r="B496" s="49" t="s">
        <v>926</v>
      </c>
      <c r="C496" s="49" t="s">
        <v>1738</v>
      </c>
      <c r="D496" s="106" t="s">
        <v>2207</v>
      </c>
    </row>
    <row r="497" spans="1:4" ht="34.5" x14ac:dyDescent="0.25">
      <c r="A497" s="257" t="s">
        <v>335</v>
      </c>
      <c r="B497" s="49" t="s">
        <v>927</v>
      </c>
      <c r="C497" s="49" t="s">
        <v>2435</v>
      </c>
      <c r="D497" s="106" t="s">
        <v>2208</v>
      </c>
    </row>
    <row r="498" spans="1:4" ht="23" x14ac:dyDescent="0.25">
      <c r="A498" s="257" t="s">
        <v>336</v>
      </c>
      <c r="B498" s="49" t="s">
        <v>928</v>
      </c>
      <c r="C498" s="49" t="s">
        <v>1645</v>
      </c>
      <c r="D498" s="106" t="s">
        <v>2209</v>
      </c>
    </row>
    <row r="499" spans="1:4" x14ac:dyDescent="0.25">
      <c r="A499" s="257" t="s">
        <v>119</v>
      </c>
      <c r="B499" s="49" t="s">
        <v>929</v>
      </c>
      <c r="C499" s="105" t="s">
        <v>1640</v>
      </c>
      <c r="D499" s="106" t="s">
        <v>2210</v>
      </c>
    </row>
    <row r="500" spans="1:4" ht="149.5" x14ac:dyDescent="0.25">
      <c r="A500" s="257" t="s">
        <v>930</v>
      </c>
      <c r="B500" s="49" t="s">
        <v>931</v>
      </c>
      <c r="C500" s="49" t="s">
        <v>2590</v>
      </c>
      <c r="D500" s="106" t="s">
        <v>2271</v>
      </c>
    </row>
    <row r="501" spans="1:4" ht="23" x14ac:dyDescent="0.25">
      <c r="A501" s="257" t="s">
        <v>337</v>
      </c>
      <c r="B501" s="49" t="s">
        <v>932</v>
      </c>
      <c r="C501" s="49" t="s">
        <v>2563</v>
      </c>
      <c r="D501" s="106" t="s">
        <v>2211</v>
      </c>
    </row>
    <row r="502" spans="1:4" s="53" customFormat="1" ht="23" x14ac:dyDescent="0.25">
      <c r="A502" s="257" t="s">
        <v>338</v>
      </c>
      <c r="B502" s="49" t="s">
        <v>933</v>
      </c>
      <c r="C502" s="49" t="s">
        <v>1739</v>
      </c>
      <c r="D502" s="106" t="s">
        <v>2212</v>
      </c>
    </row>
    <row r="503" spans="1:4" ht="23" x14ac:dyDescent="0.25">
      <c r="A503" s="257" t="s">
        <v>339</v>
      </c>
      <c r="B503" s="49" t="s">
        <v>934</v>
      </c>
      <c r="C503" s="49" t="s">
        <v>2436</v>
      </c>
      <c r="D503" s="106" t="s">
        <v>2213</v>
      </c>
    </row>
    <row r="504" spans="1:4" ht="23" x14ac:dyDescent="0.25">
      <c r="A504" s="257" t="s">
        <v>340</v>
      </c>
      <c r="B504" s="49" t="s">
        <v>935</v>
      </c>
      <c r="C504" s="49" t="s">
        <v>1648</v>
      </c>
      <c r="D504" s="106" t="s">
        <v>2214</v>
      </c>
    </row>
    <row r="505" spans="1:4" ht="40.5" customHeight="1" x14ac:dyDescent="0.25">
      <c r="A505" s="257" t="s">
        <v>341</v>
      </c>
      <c r="B505" s="49" t="s">
        <v>1646</v>
      </c>
      <c r="C505" s="49" t="s">
        <v>1647</v>
      </c>
      <c r="D505" s="106" t="s">
        <v>2215</v>
      </c>
    </row>
    <row r="506" spans="1:4" x14ac:dyDescent="0.25">
      <c r="A506" s="257" t="s">
        <v>121</v>
      </c>
      <c r="B506" s="49" t="s">
        <v>481</v>
      </c>
      <c r="C506" s="105" t="s">
        <v>1758</v>
      </c>
      <c r="D506" s="106" t="s">
        <v>1872</v>
      </c>
    </row>
    <row r="507" spans="1:4" ht="69" x14ac:dyDescent="0.25">
      <c r="A507" s="257" t="s">
        <v>936</v>
      </c>
      <c r="B507" s="49" t="s">
        <v>483</v>
      </c>
      <c r="C507" s="49" t="s">
        <v>2565</v>
      </c>
      <c r="D507" s="106" t="s">
        <v>1873</v>
      </c>
    </row>
    <row r="508" spans="1:4" ht="23" x14ac:dyDescent="0.25">
      <c r="A508" s="257" t="s">
        <v>342</v>
      </c>
      <c r="B508" s="49" t="s">
        <v>937</v>
      </c>
      <c r="C508" s="49" t="s">
        <v>1801</v>
      </c>
      <c r="D508" s="106" t="s">
        <v>2216</v>
      </c>
    </row>
    <row r="509" spans="1:4" ht="23" x14ac:dyDescent="0.25">
      <c r="A509" s="257" t="s">
        <v>343</v>
      </c>
      <c r="B509" s="49" t="s">
        <v>938</v>
      </c>
      <c r="C509" s="49" t="s">
        <v>1802</v>
      </c>
      <c r="D509" s="106" t="s">
        <v>2217</v>
      </c>
    </row>
    <row r="510" spans="1:4" ht="23" x14ac:dyDescent="0.25">
      <c r="A510" s="257" t="s">
        <v>344</v>
      </c>
      <c r="B510" s="49" t="s">
        <v>939</v>
      </c>
      <c r="C510" s="49" t="s">
        <v>1803</v>
      </c>
      <c r="D510" s="106" t="s">
        <v>2218</v>
      </c>
    </row>
    <row r="511" spans="1:4" ht="23" x14ac:dyDescent="0.25">
      <c r="A511" s="257" t="s">
        <v>345</v>
      </c>
      <c r="B511" s="49" t="s">
        <v>940</v>
      </c>
      <c r="C511" s="49" t="s">
        <v>2332</v>
      </c>
      <c r="D511" s="106" t="s">
        <v>2219</v>
      </c>
    </row>
    <row r="512" spans="1:4" ht="34.5" x14ac:dyDescent="0.25">
      <c r="A512" s="257" t="s">
        <v>346</v>
      </c>
      <c r="B512" s="49" t="s">
        <v>941</v>
      </c>
      <c r="C512" s="49" t="s">
        <v>2342</v>
      </c>
      <c r="D512" s="106" t="s">
        <v>2220</v>
      </c>
    </row>
    <row r="513" spans="1:4" ht="23" x14ac:dyDescent="0.25">
      <c r="A513" s="257" t="s">
        <v>347</v>
      </c>
      <c r="B513" s="49" t="s">
        <v>942</v>
      </c>
      <c r="C513" s="49" t="s">
        <v>1804</v>
      </c>
      <c r="D513" s="106" t="s">
        <v>2221</v>
      </c>
    </row>
    <row r="514" spans="1:4" ht="23" x14ac:dyDescent="0.25">
      <c r="A514" s="257" t="s">
        <v>348</v>
      </c>
      <c r="B514" s="49" t="s">
        <v>943</v>
      </c>
      <c r="C514" s="49" t="s">
        <v>2352</v>
      </c>
      <c r="D514" s="106" t="s">
        <v>2222</v>
      </c>
    </row>
  </sheetData>
  <sheetProtection sheet="1" objects="1" scenarios="1"/>
  <autoFilter ref="A1:D514">
    <sortState ref="A2:D514">
      <sortCondition ref="A1:A514"/>
    </sortState>
  </autoFilter>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AB326"/>
  <sheetViews>
    <sheetView showGridLines="0" zoomScale="85" zoomScaleNormal="85" workbookViewId="0">
      <selection activeCell="P56" sqref="P56"/>
    </sheetView>
  </sheetViews>
  <sheetFormatPr defaultRowHeight="11.5" x14ac:dyDescent="0.25"/>
  <cols>
    <col min="1" max="1" width="10.85546875" style="245" bestFit="1" customWidth="1"/>
    <col min="2" max="2" width="12.2109375" style="245" bestFit="1" customWidth="1"/>
    <col min="3" max="3" width="13.5" style="245" customWidth="1"/>
    <col min="4" max="5" width="3.640625" style="245" customWidth="1"/>
    <col min="6" max="6" width="13.0703125" style="245" bestFit="1" customWidth="1"/>
    <col min="7" max="7" width="3.640625" style="245" customWidth="1"/>
    <col min="8" max="9" width="5.640625" style="39" customWidth="1"/>
    <col min="10" max="10" width="12.640625" style="287" customWidth="1"/>
    <col min="11" max="11" width="15.5703125" style="52" customWidth="1"/>
    <col min="12" max="15" width="9.140625" style="52"/>
    <col min="16" max="16" width="12.640625" style="52" customWidth="1"/>
    <col min="17" max="17" width="13.7109375" style="52" bestFit="1" customWidth="1"/>
    <col min="18" max="18" width="20.85546875" style="52" customWidth="1"/>
    <col min="19" max="21" width="9.140625" style="52"/>
    <col min="22" max="22" width="12.640625" style="52" customWidth="1"/>
    <col min="23" max="23" width="8.640625" style="52" customWidth="1"/>
    <col min="24" max="24" width="13.5703125" style="52" bestFit="1" customWidth="1"/>
    <col min="25" max="25" width="3.640625" style="291" customWidth="1"/>
    <col min="26" max="26" width="3.640625" style="245" customWidth="1"/>
    <col min="27" max="27" width="5.640625" style="244" customWidth="1"/>
    <col min="28" max="28" width="8.640625" style="52" customWidth="1"/>
    <col min="29" max="16384" width="9.140625" style="52"/>
  </cols>
  <sheetData>
    <row r="1" spans="1:28" s="3" customFormat="1" ht="12" thickBot="1" x14ac:dyDescent="0.3">
      <c r="A1" s="215" t="s">
        <v>32</v>
      </c>
      <c r="B1" s="215" t="s">
        <v>33</v>
      </c>
      <c r="C1" s="215" t="s">
        <v>34</v>
      </c>
      <c r="D1" s="215" t="s">
        <v>35</v>
      </c>
      <c r="E1" s="215" t="s">
        <v>36</v>
      </c>
      <c r="F1" s="215" t="s">
        <v>39</v>
      </c>
      <c r="G1" s="215" t="s">
        <v>40</v>
      </c>
      <c r="H1" s="216" t="s">
        <v>37</v>
      </c>
      <c r="I1" s="216" t="s">
        <v>38</v>
      </c>
      <c r="J1" s="285" t="s">
        <v>34</v>
      </c>
      <c r="K1" s="216" t="s">
        <v>41</v>
      </c>
      <c r="L1" s="216">
        <v>1</v>
      </c>
      <c r="M1" s="216">
        <v>2</v>
      </c>
      <c r="N1" s="216">
        <v>3</v>
      </c>
      <c r="O1" s="216" t="s">
        <v>42</v>
      </c>
      <c r="P1" s="217"/>
      <c r="Q1" s="218" t="s">
        <v>32</v>
      </c>
      <c r="R1" s="219" t="s">
        <v>2452</v>
      </c>
      <c r="S1" s="220" t="s">
        <v>2453</v>
      </c>
      <c r="T1" s="220" t="s">
        <v>2454</v>
      </c>
      <c r="U1" s="221" t="s">
        <v>2455</v>
      </c>
      <c r="V1" s="217"/>
      <c r="W1" s="280" t="s">
        <v>595</v>
      </c>
      <c r="X1" s="280" t="s">
        <v>34</v>
      </c>
      <c r="Y1" s="280" t="s">
        <v>1513</v>
      </c>
      <c r="Z1" s="280" t="s">
        <v>36</v>
      </c>
      <c r="AA1" s="280" t="s">
        <v>982</v>
      </c>
      <c r="AB1" s="280" t="s">
        <v>2637</v>
      </c>
    </row>
    <row r="2" spans="1:28" s="40" customFormat="1" x14ac:dyDescent="0.25">
      <c r="A2" s="281" t="s">
        <v>64</v>
      </c>
      <c r="B2" s="281" t="s">
        <v>66</v>
      </c>
      <c r="C2" s="281" t="s">
        <v>161</v>
      </c>
      <c r="D2" s="281" t="s">
        <v>7</v>
      </c>
      <c r="E2" s="281">
        <v>1</v>
      </c>
      <c r="F2" s="222" t="str">
        <f t="shared" ref="F2:F65" si="0">CONCATENATE($B2,$E2)</f>
        <v>ACCESS-11</v>
      </c>
      <c r="G2" s="222">
        <f t="shared" ref="G2:G65" si="1">COUNTIF($F:$F,$F2)</f>
        <v>3</v>
      </c>
      <c r="H2" s="284">
        <f t="shared" ref="H2:H65" ca="1" si="2">INT(LEFT(
VLOOKUP($D2, INDIRECT("'"&amp;$A2&amp;"'!"&amp;"$D:$H"), 5,FALSE), 1)
)</f>
        <v>0</v>
      </c>
      <c r="I2" s="284">
        <f t="shared" ref="I2:I65" ca="1" si="3">IFERROR(IF(H2&gt;2,1,0),0)</f>
        <v>0</v>
      </c>
      <c r="J2" s="286" t="s">
        <v>161</v>
      </c>
      <c r="K2" s="223" t="s">
        <v>64</v>
      </c>
      <c r="L2" s="223"/>
      <c r="M2" s="223"/>
      <c r="N2" s="223"/>
      <c r="O2" s="224">
        <f ca="1">MIN(O3:O5)</f>
        <v>0</v>
      </c>
      <c r="P2" s="225"/>
      <c r="Q2" s="226"/>
      <c r="R2" s="227"/>
      <c r="S2" s="217" t="str">
        <f>IF(VLOOKUP(S$1,Languages!$A:$D,1,TRUE)=S$1,VLOOKUP(S$1,Languages!$A:$D,Kybermittari!$C$7,TRUE),NA())</f>
        <v>Kyberturvallisuuden kypsyystaso</v>
      </c>
      <c r="T2" s="217" t="str">
        <f>IF(VLOOKUP(T$1,Languages!$A:$D,1,TRUE)=T$1,VLOOKUP(T$1,Languages!$A:$D,Kybermittari!$C$7,TRUE),NA())</f>
        <v>Nykytila</v>
      </c>
      <c r="U2" s="228" t="str">
        <f>IF(VLOOKUP(U$1,Languages!$A:$D,1,TRUE)=U$1,VLOOKUP(U$1,Languages!$A:$D,Kybermittari!$C$7,TRUE),NA())</f>
        <v>Edellinen</v>
      </c>
      <c r="V2" s="142"/>
      <c r="W2" s="278" t="str">
        <f ca="1">AB2&amp;"-"&amp;COUNTIF($AB$2:$AB2,$AB2)</f>
        <v>0-1-0-1</v>
      </c>
      <c r="X2" s="279" t="s">
        <v>161</v>
      </c>
      <c r="Y2" s="289">
        <f t="shared" ref="Y2:Y33" ca="1" si="4">VLOOKUP(LEFT($X2,LEN($X2)-1),$K:$O,5,FALSE)</f>
        <v>0</v>
      </c>
      <c r="Z2" s="290">
        <v>1</v>
      </c>
      <c r="AA2" s="277">
        <f t="shared" ref="AA2:AA65" ca="1" si="5">VLOOKUP(X2,C:I,7,FALSE)</f>
        <v>0</v>
      </c>
      <c r="AB2" s="279" t="str">
        <f ca="1">Y2&amp;"-"&amp;Z2&amp;"-"&amp;AA2</f>
        <v>0-1-0</v>
      </c>
    </row>
    <row r="3" spans="1:28" s="3" customFormat="1" x14ac:dyDescent="0.25">
      <c r="A3" s="281" t="s">
        <v>64</v>
      </c>
      <c r="B3" s="281" t="s">
        <v>66</v>
      </c>
      <c r="C3" s="281" t="s">
        <v>163</v>
      </c>
      <c r="D3" s="281" t="s">
        <v>9</v>
      </c>
      <c r="E3" s="281">
        <v>1</v>
      </c>
      <c r="F3" s="222" t="str">
        <f t="shared" si="0"/>
        <v>ACCESS-11</v>
      </c>
      <c r="G3" s="222">
        <f t="shared" si="1"/>
        <v>3</v>
      </c>
      <c r="H3" s="284">
        <f t="shared" ca="1" si="2"/>
        <v>0</v>
      </c>
      <c r="I3" s="284">
        <f t="shared" ca="1" si="3"/>
        <v>0</v>
      </c>
      <c r="J3" s="285" t="s">
        <v>163</v>
      </c>
      <c r="K3" s="229" t="s">
        <v>66</v>
      </c>
      <c r="L3" s="37">
        <f t="shared" ref="L3:N4" ca="1" si="6">SUMIF($F:$F,CONCATENATE($K3,L$1),$I:$I) / VLOOKUP(CONCATENATE($K3,L$1),$F:$G,2,FALSE)</f>
        <v>0</v>
      </c>
      <c r="M3" s="37">
        <f t="shared" ca="1" si="6"/>
        <v>0</v>
      </c>
      <c r="N3" s="37">
        <f t="shared" ca="1" si="6"/>
        <v>0</v>
      </c>
      <c r="O3" s="230">
        <f ca="1">IF( AND($L3=1,$M3=1,$N3&gt;$O$56 ), 3,
    IF( AND($L3=1,$M3&gt;$O$56 ), 2,
      IF( $L3=1, 1, 0)
  )
) + N("MIL3 tarkistus 1. rivillä, MIL2 tarkistus 2. rivillä, ja lopuksi MIL1 tarkistus.")</f>
        <v>0</v>
      </c>
      <c r="P3" s="217"/>
      <c r="Q3" s="231" t="s">
        <v>60</v>
      </c>
      <c r="R3" s="275" t="str">
        <f>Parameters!B62</f>
        <v>Kriittiset
palvelut</v>
      </c>
      <c r="S3" s="225">
        <f t="shared" ref="S3:S13" ca="1" si="7">VLOOKUP($Q3,$K$1:$O$54,5,FALSE)</f>
        <v>0</v>
      </c>
      <c r="T3" s="217">
        <f>VLOOKUP(Data!$Q3,Table2[#All],2,FALSE)</f>
        <v>0</v>
      </c>
      <c r="U3" s="228">
        <f>VLOOKUP(Data!$Q3,Table4[#All],2,FALSE)</f>
        <v>0</v>
      </c>
      <c r="W3" s="278" t="str">
        <f ca="1">AB3&amp;"-"&amp;COUNTIF($AB$2:$AB3,$AB3)</f>
        <v>0-1-0-2</v>
      </c>
      <c r="X3" s="101" t="s">
        <v>163</v>
      </c>
      <c r="Y3" s="289">
        <f t="shared" ca="1" si="4"/>
        <v>0</v>
      </c>
      <c r="Z3" s="102">
        <v>1</v>
      </c>
      <c r="AA3" s="277">
        <f t="shared" ca="1" si="5"/>
        <v>0</v>
      </c>
      <c r="AB3" s="279" t="str">
        <f t="shared" ref="AB3:AB66" ca="1" si="8">Y3&amp;"-"&amp;Z3&amp;"-"&amp;AA3</f>
        <v>0-1-0</v>
      </c>
    </row>
    <row r="4" spans="1:28" s="3" customFormat="1" x14ac:dyDescent="0.25">
      <c r="A4" s="281" t="s">
        <v>64</v>
      </c>
      <c r="B4" s="281" t="s">
        <v>66</v>
      </c>
      <c r="C4" s="281" t="s">
        <v>164</v>
      </c>
      <c r="D4" s="281" t="s">
        <v>10</v>
      </c>
      <c r="E4" s="281">
        <v>1</v>
      </c>
      <c r="F4" s="222" t="str">
        <f t="shared" si="0"/>
        <v>ACCESS-11</v>
      </c>
      <c r="G4" s="222">
        <f t="shared" si="1"/>
        <v>3</v>
      </c>
      <c r="H4" s="284">
        <f ca="1">INT(LEFT(
VLOOKUP($D4, INDIRECT("'"&amp;$A4&amp;"'!"&amp;"$D:$H"), 5,FALSE), 1)
)</f>
        <v>0</v>
      </c>
      <c r="I4" s="284">
        <f t="shared" ca="1" si="3"/>
        <v>0</v>
      </c>
      <c r="J4" s="285" t="s">
        <v>164</v>
      </c>
      <c r="K4" s="229" t="s">
        <v>68</v>
      </c>
      <c r="L4" s="37">
        <f t="shared" ca="1" si="6"/>
        <v>0</v>
      </c>
      <c r="M4" s="37">
        <f t="shared" ca="1" si="6"/>
        <v>0</v>
      </c>
      <c r="N4" s="37">
        <f t="shared" ca="1" si="6"/>
        <v>0</v>
      </c>
      <c r="O4" s="230">
        <f ca="1">IF( AND($L4=1,$M4=1,$N4&gt;$O$56 ), 3,
    IF( AND($L4=1,$M4&gt;$O$56 ), 2,
      IF( $L4=1, 1, 0)
  )
) + N("MIL3 tarkistus 1. rivillä, MIL2 tarkistus 2. rivillä, ja lopuksi MIL1 tarkistus.")</f>
        <v>0</v>
      </c>
      <c r="P4" s="217"/>
      <c r="Q4" s="231" t="s">
        <v>0</v>
      </c>
      <c r="R4" s="275" t="str">
        <f>Parameters!B63</f>
        <v>Riskien
hallinta</v>
      </c>
      <c r="S4" s="225">
        <f t="shared" ca="1" si="7"/>
        <v>0</v>
      </c>
      <c r="T4" s="217">
        <f>VLOOKUP(Data!$Q4,Table2[#All],2,FALSE)</f>
        <v>0</v>
      </c>
      <c r="U4" s="228">
        <f>VLOOKUP(Data!$Q4,Table4[#All],2,FALSE)</f>
        <v>0</v>
      </c>
      <c r="W4" s="278" t="str">
        <f ca="1">AB4&amp;"-"&amp;COUNTIF($AB$2:$AB4,$AB4)</f>
        <v>0-1-0-3</v>
      </c>
      <c r="X4" s="101" t="s">
        <v>164</v>
      </c>
      <c r="Y4" s="289">
        <f t="shared" ca="1" si="4"/>
        <v>0</v>
      </c>
      <c r="Z4" s="102">
        <v>1</v>
      </c>
      <c r="AA4" s="277">
        <f t="shared" ca="1" si="5"/>
        <v>0</v>
      </c>
      <c r="AB4" s="279" t="str">
        <f t="shared" ca="1" si="8"/>
        <v>0-1-0</v>
      </c>
    </row>
    <row r="5" spans="1:28" s="3" customFormat="1" x14ac:dyDescent="0.25">
      <c r="A5" s="281" t="s">
        <v>64</v>
      </c>
      <c r="B5" s="281" t="s">
        <v>66</v>
      </c>
      <c r="C5" s="281" t="s">
        <v>165</v>
      </c>
      <c r="D5" s="281" t="s">
        <v>11</v>
      </c>
      <c r="E5" s="281">
        <v>2</v>
      </c>
      <c r="F5" s="222" t="str">
        <f t="shared" si="0"/>
        <v>ACCESS-12</v>
      </c>
      <c r="G5" s="222">
        <f t="shared" si="1"/>
        <v>3</v>
      </c>
      <c r="H5" s="284">
        <f t="shared" ca="1" si="2"/>
        <v>0</v>
      </c>
      <c r="I5" s="284">
        <f t="shared" ca="1" si="3"/>
        <v>0</v>
      </c>
      <c r="J5" s="285" t="s">
        <v>165</v>
      </c>
      <c r="K5" s="229" t="s">
        <v>71</v>
      </c>
      <c r="L5" s="233">
        <v>1</v>
      </c>
      <c r="M5" s="37">
        <f ca="1">SUMIF($F:$F,CONCATENATE($K5,M$1),$I:$I) / VLOOKUP(CONCATENATE($K5,M$1),$F:$G,2,FALSE)</f>
        <v>0</v>
      </c>
      <c r="N5" s="37">
        <f ca="1">SUMIF($F:$F,CONCATENATE($K5,N$1),$I:$I) / VLOOKUP(CONCATENATE($K5,N$1),$F:$G,2,FALSE)</f>
        <v>0</v>
      </c>
      <c r="O5" s="230">
        <f ca="1">IF( AND($L5=1,$M5=1,$N5&gt;$O$56 ), 3,
    IF( AND($L5=1,$M5&gt;$O$56 ), 2,
      IF( $L5=1, 1, 0)
  )
) + N("MIL3 tarkistus 1. rivillä, MIL2 tarkistus 2. rivillä, ja lopuksi MIL1 tarkistus.")</f>
        <v>1</v>
      </c>
      <c r="P5" s="217"/>
      <c r="Q5" s="231" t="s">
        <v>77</v>
      </c>
      <c r="R5" s="275" t="str">
        <f>Parameters!B64</f>
        <v>Toimitus
ketjut</v>
      </c>
      <c r="S5" s="225">
        <f t="shared" ca="1" si="7"/>
        <v>0</v>
      </c>
      <c r="T5" s="217">
        <f>VLOOKUP(Data!$Q5,Table2[#All],2,FALSE)</f>
        <v>0</v>
      </c>
      <c r="U5" s="228">
        <f>VLOOKUP(Data!$Q5,Table4[#All],2,FALSE)</f>
        <v>0</v>
      </c>
      <c r="W5" s="278" t="str">
        <f ca="1">AB5&amp;"-"&amp;COUNTIF($AB$2:$AB5,$AB5)</f>
        <v>0-2-0-1</v>
      </c>
      <c r="X5" s="101" t="s">
        <v>165</v>
      </c>
      <c r="Y5" s="289">
        <f t="shared" ca="1" si="4"/>
        <v>0</v>
      </c>
      <c r="Z5" s="102">
        <v>2</v>
      </c>
      <c r="AA5" s="277">
        <f t="shared" ca="1" si="5"/>
        <v>0</v>
      </c>
      <c r="AB5" s="279" t="str">
        <f t="shared" ca="1" si="8"/>
        <v>0-2-0</v>
      </c>
    </row>
    <row r="6" spans="1:28" s="3" customFormat="1" x14ac:dyDescent="0.25">
      <c r="A6" s="281" t="s">
        <v>64</v>
      </c>
      <c r="B6" s="281" t="s">
        <v>66</v>
      </c>
      <c r="C6" s="281" t="s">
        <v>166</v>
      </c>
      <c r="D6" s="281" t="s">
        <v>12</v>
      </c>
      <c r="E6" s="281">
        <v>2</v>
      </c>
      <c r="F6" s="222" t="str">
        <f t="shared" si="0"/>
        <v>ACCESS-12</v>
      </c>
      <c r="G6" s="222">
        <f t="shared" si="1"/>
        <v>3</v>
      </c>
      <c r="H6" s="284">
        <f t="shared" ca="1" si="2"/>
        <v>0</v>
      </c>
      <c r="I6" s="284">
        <f t="shared" ca="1" si="3"/>
        <v>0</v>
      </c>
      <c r="J6" s="285" t="s">
        <v>166</v>
      </c>
      <c r="K6" s="223" t="s">
        <v>83</v>
      </c>
      <c r="L6" s="223"/>
      <c r="M6" s="223"/>
      <c r="N6" s="223"/>
      <c r="O6" s="224">
        <f ca="1">MIN(O7:O11)</f>
        <v>0</v>
      </c>
      <c r="P6" s="225"/>
      <c r="Q6" s="231" t="s">
        <v>51</v>
      </c>
      <c r="R6" s="275" t="str">
        <f>Parameters!B65</f>
        <v>Laiteet
ja tieto</v>
      </c>
      <c r="S6" s="225">
        <f t="shared" ca="1" si="7"/>
        <v>0</v>
      </c>
      <c r="T6" s="217">
        <f>VLOOKUP(Data!$Q6,Table2[#All],2,FALSE)</f>
        <v>0</v>
      </c>
      <c r="U6" s="228">
        <f>VLOOKUP(Data!$Q6,Table4[#All],2,FALSE)</f>
        <v>0</v>
      </c>
      <c r="W6" s="278" t="str">
        <f ca="1">AB6&amp;"-"&amp;COUNTIF($AB$2:$AB6,$AB6)</f>
        <v>0-2-0-2</v>
      </c>
      <c r="X6" s="101" t="s">
        <v>166</v>
      </c>
      <c r="Y6" s="289">
        <f t="shared" ca="1" si="4"/>
        <v>0</v>
      </c>
      <c r="Z6" s="102">
        <v>2</v>
      </c>
      <c r="AA6" s="277">
        <f t="shared" ca="1" si="5"/>
        <v>0</v>
      </c>
      <c r="AB6" s="279" t="str">
        <f t="shared" ca="1" si="8"/>
        <v>0-2-0</v>
      </c>
    </row>
    <row r="7" spans="1:28" x14ac:dyDescent="0.25">
      <c r="A7" s="281" t="s">
        <v>64</v>
      </c>
      <c r="B7" s="281" t="s">
        <v>66</v>
      </c>
      <c r="C7" s="281" t="s">
        <v>167</v>
      </c>
      <c r="D7" s="281" t="s">
        <v>13</v>
      </c>
      <c r="E7" s="281">
        <v>2</v>
      </c>
      <c r="F7" s="222" t="str">
        <f t="shared" si="0"/>
        <v>ACCESS-12</v>
      </c>
      <c r="G7" s="222">
        <f t="shared" si="1"/>
        <v>3</v>
      </c>
      <c r="H7" s="284">
        <f t="shared" ca="1" si="2"/>
        <v>0</v>
      </c>
      <c r="I7" s="284">
        <f t="shared" ca="1" si="3"/>
        <v>0</v>
      </c>
      <c r="J7" s="287" t="s">
        <v>167</v>
      </c>
      <c r="K7" s="229" t="s">
        <v>124</v>
      </c>
      <c r="L7" s="37">
        <f t="shared" ref="L7:N8" ca="1" si="9">SUMIF($F:$F,CONCATENATE($K7,L$1),$I:$I) / VLOOKUP(CONCATENATE($K7,L$1),$F:$G,2,FALSE)</f>
        <v>0</v>
      </c>
      <c r="M7" s="37">
        <f t="shared" ca="1" si="9"/>
        <v>0</v>
      </c>
      <c r="N7" s="37">
        <f t="shared" ca="1" si="9"/>
        <v>0</v>
      </c>
      <c r="O7" s="230">
        <f ca="1">IF( AND($L7=1,$M7=1,$N7&gt;$O$56 ), 3,
    IF( AND($L7=1,$M7&gt;$O$56 ), 2,
      IF( $L7=1, 1, 0)
  )
) + N("MIL3 tarkistus 1. rivillä, MIL2 tarkistus 2. rivillä, ja lopuksi MIL1 tarkistus.")</f>
        <v>0</v>
      </c>
      <c r="P7" s="217"/>
      <c r="Q7" s="231" t="s">
        <v>64</v>
      </c>
      <c r="R7" s="275" t="str">
        <f>Parameters!B66</f>
        <v>Pääsyn
hallinta</v>
      </c>
      <c r="S7" s="225">
        <f t="shared" ca="1" si="7"/>
        <v>0</v>
      </c>
      <c r="T7" s="217">
        <f>VLOOKUP(Data!$Q7,Table2[#All],2,FALSE)</f>
        <v>0</v>
      </c>
      <c r="U7" s="228">
        <f>VLOOKUP(Data!$Q7,Table4[#All],2,FALSE)</f>
        <v>0</v>
      </c>
      <c r="W7" s="278" t="str">
        <f ca="1">AB7&amp;"-"&amp;COUNTIF($AB$2:$AB7,$AB7)</f>
        <v>0-2-0-3</v>
      </c>
      <c r="X7" s="278" t="s">
        <v>167</v>
      </c>
      <c r="Y7" s="289">
        <f t="shared" ca="1" si="4"/>
        <v>0</v>
      </c>
      <c r="Z7" s="271">
        <v>2</v>
      </c>
      <c r="AA7" s="277">
        <f t="shared" ca="1" si="5"/>
        <v>0</v>
      </c>
      <c r="AB7" s="279" t="str">
        <f t="shared" ca="1" si="8"/>
        <v>0-2-0</v>
      </c>
    </row>
    <row r="8" spans="1:28" x14ac:dyDescent="0.25">
      <c r="A8" s="281" t="s">
        <v>64</v>
      </c>
      <c r="B8" s="281" t="s">
        <v>66</v>
      </c>
      <c r="C8" s="281" t="s">
        <v>168</v>
      </c>
      <c r="D8" s="281" t="s">
        <v>14</v>
      </c>
      <c r="E8" s="281">
        <v>3</v>
      </c>
      <c r="F8" s="222" t="str">
        <f t="shared" si="0"/>
        <v>ACCESS-13</v>
      </c>
      <c r="G8" s="222">
        <f t="shared" si="1"/>
        <v>1</v>
      </c>
      <c r="H8" s="284">
        <f t="shared" ca="1" si="2"/>
        <v>0</v>
      </c>
      <c r="I8" s="284">
        <f t="shared" ca="1" si="3"/>
        <v>0</v>
      </c>
      <c r="J8" s="287" t="s">
        <v>168</v>
      </c>
      <c r="K8" s="229" t="s">
        <v>127</v>
      </c>
      <c r="L8" s="37">
        <f t="shared" ca="1" si="9"/>
        <v>0</v>
      </c>
      <c r="M8" s="37">
        <f t="shared" ca="1" si="9"/>
        <v>0</v>
      </c>
      <c r="N8" s="37">
        <f t="shared" ca="1" si="9"/>
        <v>0</v>
      </c>
      <c r="O8" s="230">
        <f ca="1">IF( AND($L8=1,$M8=1,$N8&gt;$O$56 ), 3,
    IF( AND($L8=1,$M8&gt;$O$56 ), 2,
      IF( $L8=1, 1, 0)
  )
) + N("MIL3 tarkistus 1. rivillä, MIL2 tarkistus 2. rivillä, ja lopuksi MIL1 tarkistus.")</f>
        <v>0</v>
      </c>
      <c r="P8" s="217"/>
      <c r="Q8" s="231" t="s">
        <v>69</v>
      </c>
      <c r="R8" s="275" t="str">
        <f>Parameters!B67</f>
        <v>Kyberuhat</v>
      </c>
      <c r="S8" s="225">
        <f t="shared" ca="1" si="7"/>
        <v>0</v>
      </c>
      <c r="T8" s="217">
        <f>VLOOKUP(Data!$Q8,Table2[#All],2,FALSE)</f>
        <v>0</v>
      </c>
      <c r="U8" s="228">
        <f>VLOOKUP(Data!$Q8,Table4[#All],2,FALSE)</f>
        <v>0</v>
      </c>
      <c r="W8" s="278" t="str">
        <f ca="1">AB8&amp;"-"&amp;COUNTIF($AB$2:$AB8,$AB8)</f>
        <v>0-3-0-1</v>
      </c>
      <c r="X8" s="278" t="s">
        <v>168</v>
      </c>
      <c r="Y8" s="289">
        <f t="shared" ca="1" si="4"/>
        <v>0</v>
      </c>
      <c r="Z8" s="271">
        <v>3</v>
      </c>
      <c r="AA8" s="277">
        <f t="shared" ca="1" si="5"/>
        <v>0</v>
      </c>
      <c r="AB8" s="279" t="str">
        <f t="shared" ca="1" si="8"/>
        <v>0-3-0</v>
      </c>
    </row>
    <row r="9" spans="1:28" x14ac:dyDescent="0.25">
      <c r="A9" s="281" t="s">
        <v>64</v>
      </c>
      <c r="B9" s="281" t="s">
        <v>68</v>
      </c>
      <c r="C9" s="281" t="s">
        <v>169</v>
      </c>
      <c r="D9" s="281" t="s">
        <v>20</v>
      </c>
      <c r="E9" s="281">
        <v>1</v>
      </c>
      <c r="F9" s="222" t="str">
        <f t="shared" si="0"/>
        <v>ACCESS-21</v>
      </c>
      <c r="G9" s="222">
        <f t="shared" si="1"/>
        <v>3</v>
      </c>
      <c r="H9" s="284">
        <f t="shared" ca="1" si="2"/>
        <v>0</v>
      </c>
      <c r="I9" s="284">
        <f t="shared" ca="1" si="3"/>
        <v>0</v>
      </c>
      <c r="J9" s="287" t="s">
        <v>169</v>
      </c>
      <c r="K9" s="229" t="s">
        <v>130</v>
      </c>
      <c r="L9" s="233">
        <v>1</v>
      </c>
      <c r="M9" s="37">
        <f t="shared" ref="M9:N11" ca="1" si="10">SUMIF($F:$F,CONCATENATE($K9,M$1),$I:$I) / VLOOKUP(CONCATENATE($K9,M$1),$F:$G,2,FALSE)</f>
        <v>0</v>
      </c>
      <c r="N9" s="37">
        <f t="shared" ca="1" si="10"/>
        <v>0</v>
      </c>
      <c r="O9" s="230">
        <f ca="1">IF( AND($L9=1,$M9=1,$N9&gt;$O$56 ), 3,
    IF( AND($L9=1,$M9&gt;$O$56 ), 2,
      IF( $L9=1, 1, 0)
  )
) + N("MIL3 tarkistus 1. rivillä, MIL2 tarkistus 2. rivillä, ja lopuksi MIL1 tarkistus.")</f>
        <v>1</v>
      </c>
      <c r="P9" s="217"/>
      <c r="Q9" s="231" t="s">
        <v>72</v>
      </c>
      <c r="R9" s="275" t="str">
        <f>Parameters!B68</f>
        <v>Tilannekuva</v>
      </c>
      <c r="S9" s="225">
        <f t="shared" ca="1" si="7"/>
        <v>0</v>
      </c>
      <c r="T9" s="217">
        <f>VLOOKUP(Data!$Q9,Table2[#All],2,FALSE)</f>
        <v>0</v>
      </c>
      <c r="U9" s="228">
        <f>VLOOKUP(Data!$Q9,Table4[#All],2,FALSE)</f>
        <v>0</v>
      </c>
      <c r="W9" s="278" t="str">
        <f ca="1">AB9&amp;"-"&amp;COUNTIF($AB$2:$AB9,$AB9)</f>
        <v>0-1-0-4</v>
      </c>
      <c r="X9" s="278" t="s">
        <v>169</v>
      </c>
      <c r="Y9" s="289">
        <f t="shared" ca="1" si="4"/>
        <v>0</v>
      </c>
      <c r="Z9" s="271">
        <v>1</v>
      </c>
      <c r="AA9" s="277">
        <f t="shared" ca="1" si="5"/>
        <v>0</v>
      </c>
      <c r="AB9" s="279" t="str">
        <f t="shared" ca="1" si="8"/>
        <v>0-1-0</v>
      </c>
    </row>
    <row r="10" spans="1:28" x14ac:dyDescent="0.25">
      <c r="A10" s="281" t="s">
        <v>64</v>
      </c>
      <c r="B10" s="281" t="s">
        <v>68</v>
      </c>
      <c r="C10" s="281" t="s">
        <v>170</v>
      </c>
      <c r="D10" s="281" t="s">
        <v>21</v>
      </c>
      <c r="E10" s="281">
        <v>1</v>
      </c>
      <c r="F10" s="222" t="str">
        <f t="shared" si="0"/>
        <v>ACCESS-21</v>
      </c>
      <c r="G10" s="222">
        <f t="shared" si="1"/>
        <v>3</v>
      </c>
      <c r="H10" s="284">
        <f t="shared" ca="1" si="2"/>
        <v>0</v>
      </c>
      <c r="I10" s="284">
        <f t="shared" ca="1" si="3"/>
        <v>0</v>
      </c>
      <c r="J10" s="287" t="s">
        <v>170</v>
      </c>
      <c r="K10" s="229" t="s">
        <v>133</v>
      </c>
      <c r="L10" s="37">
        <f ca="1">SUMIF($F:$F,CONCATENATE($K10,L$1),$I:$I) / VLOOKUP(CONCATENATE($K10,L$1),$F:$G,2,FALSE)</f>
        <v>0</v>
      </c>
      <c r="M10" s="37">
        <f t="shared" ca="1" si="10"/>
        <v>0</v>
      </c>
      <c r="N10" s="37">
        <f t="shared" ca="1" si="10"/>
        <v>0</v>
      </c>
      <c r="O10" s="230">
        <f ca="1">IF( AND($L10=1,$M10=1,$N10&gt;$O$56 ), 3,
    IF( AND($L10=1,$M10&gt;$O$56 ), 2,
      IF( $L10=1, 1, 0)
  )
) + N("MIL3 tarkistus 1. rivillä, MIL2 tarkistus 2. rivillä, ja lopuksi MIL1 tarkistus.")</f>
        <v>0</v>
      </c>
      <c r="P10" s="217"/>
      <c r="Q10" s="231" t="s">
        <v>74</v>
      </c>
      <c r="R10" s="275" t="str">
        <f>Parameters!B69</f>
        <v>Kyber
häiriöt</v>
      </c>
      <c r="S10" s="225">
        <f t="shared" ca="1" si="7"/>
        <v>0</v>
      </c>
      <c r="T10" s="217">
        <f>VLOOKUP(Data!$Q10,Table2[#All],2,FALSE)</f>
        <v>0</v>
      </c>
      <c r="U10" s="228">
        <f>VLOOKUP(Data!$Q10,Table4[#All],2,FALSE)</f>
        <v>0</v>
      </c>
      <c r="W10" s="278" t="str">
        <f ca="1">AB10&amp;"-"&amp;COUNTIF($AB$2:$AB10,$AB10)</f>
        <v>0-1-0-5</v>
      </c>
      <c r="X10" s="278" t="s">
        <v>170</v>
      </c>
      <c r="Y10" s="289">
        <f t="shared" ca="1" si="4"/>
        <v>0</v>
      </c>
      <c r="Z10" s="271">
        <v>1</v>
      </c>
      <c r="AA10" s="277">
        <f t="shared" ca="1" si="5"/>
        <v>0</v>
      </c>
      <c r="AB10" s="279" t="str">
        <f t="shared" ca="1" si="8"/>
        <v>0-1-0</v>
      </c>
    </row>
    <row r="11" spans="1:28" x14ac:dyDescent="0.25">
      <c r="A11" s="281" t="s">
        <v>64</v>
      </c>
      <c r="B11" s="281" t="s">
        <v>68</v>
      </c>
      <c r="C11" s="281" t="s">
        <v>171</v>
      </c>
      <c r="D11" s="281" t="s">
        <v>22</v>
      </c>
      <c r="E11" s="281">
        <v>1</v>
      </c>
      <c r="F11" s="222" t="str">
        <f t="shared" si="0"/>
        <v>ACCESS-21</v>
      </c>
      <c r="G11" s="222">
        <f t="shared" si="1"/>
        <v>3</v>
      </c>
      <c r="H11" s="284">
        <f t="shared" ca="1" si="2"/>
        <v>0</v>
      </c>
      <c r="I11" s="284">
        <f t="shared" ca="1" si="3"/>
        <v>0</v>
      </c>
      <c r="J11" s="287" t="s">
        <v>171</v>
      </c>
      <c r="K11" s="229" t="s">
        <v>136</v>
      </c>
      <c r="L11" s="233">
        <v>1</v>
      </c>
      <c r="M11" s="37">
        <f t="shared" ca="1" si="10"/>
        <v>0</v>
      </c>
      <c r="N11" s="37">
        <f t="shared" ca="1" si="10"/>
        <v>0</v>
      </c>
      <c r="O11" s="230">
        <f ca="1">IF( AND($L11=1,$M11=1,$N11&gt;$O$56 ), 3,
    IF( AND($L11=1,$M11&gt;$O$56 ), 2,
      IF( $L11=1, 1, 0)
  )
) + N("MIL3 tarkistus 1. rivillä, MIL2 tarkistus 2. rivillä, ja lopuksi MIL1 tarkistus.")</f>
        <v>1</v>
      </c>
      <c r="P11" s="217"/>
      <c r="Q11" s="231" t="s">
        <v>80</v>
      </c>
      <c r="R11" s="275" t="str">
        <f>Parameters!B70</f>
        <v>Henkilöstö</v>
      </c>
      <c r="S11" s="225">
        <f t="shared" ca="1" si="7"/>
        <v>0</v>
      </c>
      <c r="T11" s="217">
        <f>VLOOKUP(Data!$Q11,Table2[#All],2,FALSE)</f>
        <v>0</v>
      </c>
      <c r="U11" s="228">
        <f>VLOOKUP(Data!$Q11,Table4[#All],2,FALSE)</f>
        <v>0</v>
      </c>
      <c r="W11" s="278" t="str">
        <f ca="1">AB11&amp;"-"&amp;COUNTIF($AB$2:$AB11,$AB11)</f>
        <v>0-1-0-6</v>
      </c>
      <c r="X11" s="278" t="s">
        <v>171</v>
      </c>
      <c r="Y11" s="289">
        <f t="shared" ca="1" si="4"/>
        <v>0</v>
      </c>
      <c r="Z11" s="271">
        <v>1</v>
      </c>
      <c r="AA11" s="277">
        <f t="shared" ca="1" si="5"/>
        <v>0</v>
      </c>
      <c r="AB11" s="279" t="str">
        <f t="shared" ca="1" si="8"/>
        <v>0-1-0</v>
      </c>
    </row>
    <row r="12" spans="1:28" x14ac:dyDescent="0.25">
      <c r="A12" s="281" t="s">
        <v>64</v>
      </c>
      <c r="B12" s="281" t="s">
        <v>68</v>
      </c>
      <c r="C12" s="281" t="s">
        <v>172</v>
      </c>
      <c r="D12" s="281" t="s">
        <v>23</v>
      </c>
      <c r="E12" s="281">
        <v>2</v>
      </c>
      <c r="F12" s="222" t="str">
        <f t="shared" si="0"/>
        <v>ACCESS-22</v>
      </c>
      <c r="G12" s="222">
        <f t="shared" si="1"/>
        <v>3</v>
      </c>
      <c r="H12" s="284">
        <f t="shared" ca="1" si="2"/>
        <v>0</v>
      </c>
      <c r="I12" s="284">
        <f t="shared" ca="1" si="3"/>
        <v>0</v>
      </c>
      <c r="J12" s="287" t="s">
        <v>172</v>
      </c>
      <c r="K12" s="223" t="s">
        <v>51</v>
      </c>
      <c r="L12" s="223"/>
      <c r="M12" s="223"/>
      <c r="N12" s="223"/>
      <c r="O12" s="224">
        <f ca="1">MIN(O13:O17)</f>
        <v>0</v>
      </c>
      <c r="P12" s="225"/>
      <c r="Q12" s="231" t="s">
        <v>83</v>
      </c>
      <c r="R12" s="275" t="str">
        <f>Parameters!B71</f>
        <v>Kyber
arkkitehtuuri</v>
      </c>
      <c r="S12" s="225">
        <f t="shared" ca="1" si="7"/>
        <v>0</v>
      </c>
      <c r="T12" s="217">
        <f>VLOOKUP(Data!$Q12,Table2[#All],2,FALSE)</f>
        <v>0</v>
      </c>
      <c r="U12" s="228">
        <f>VLOOKUP(Data!$Q12,Table4[#All],2,FALSE)</f>
        <v>0</v>
      </c>
      <c r="W12" s="278" t="str">
        <f ca="1">AB12&amp;"-"&amp;COUNTIF($AB$2:$AB12,$AB12)</f>
        <v>0-2-0-4</v>
      </c>
      <c r="X12" s="278" t="s">
        <v>172</v>
      </c>
      <c r="Y12" s="289">
        <f t="shared" ca="1" si="4"/>
        <v>0</v>
      </c>
      <c r="Z12" s="271">
        <v>2</v>
      </c>
      <c r="AA12" s="277">
        <f t="shared" ca="1" si="5"/>
        <v>0</v>
      </c>
      <c r="AB12" s="279" t="str">
        <f t="shared" ca="1" si="8"/>
        <v>0-2-0</v>
      </c>
    </row>
    <row r="13" spans="1:28" x14ac:dyDescent="0.25">
      <c r="A13" s="281" t="s">
        <v>64</v>
      </c>
      <c r="B13" s="281" t="s">
        <v>68</v>
      </c>
      <c r="C13" s="281" t="s">
        <v>173</v>
      </c>
      <c r="D13" s="281" t="s">
        <v>24</v>
      </c>
      <c r="E13" s="281">
        <v>2</v>
      </c>
      <c r="F13" s="222" t="str">
        <f t="shared" si="0"/>
        <v>ACCESS-22</v>
      </c>
      <c r="G13" s="222">
        <f t="shared" si="1"/>
        <v>3</v>
      </c>
      <c r="H13" s="284">
        <f t="shared" ca="1" si="2"/>
        <v>0</v>
      </c>
      <c r="I13" s="284">
        <f t="shared" ca="1" si="3"/>
        <v>0</v>
      </c>
      <c r="J13" s="287" t="s">
        <v>173</v>
      </c>
      <c r="K13" s="229" t="s">
        <v>53</v>
      </c>
      <c r="L13" s="37">
        <f t="shared" ref="L13:N16" ca="1" si="11">SUMIF($F:$F,CONCATENATE($K13,L$1),$I:$I) / VLOOKUP(CONCATENATE($K13,L$1),$F:$G,2,FALSE)</f>
        <v>0</v>
      </c>
      <c r="M13" s="37">
        <f t="shared" ca="1" si="11"/>
        <v>0</v>
      </c>
      <c r="N13" s="37">
        <f t="shared" ca="1" si="11"/>
        <v>0</v>
      </c>
      <c r="O13" s="230">
        <f ca="1">IF( AND($L13=1,$M13=1,$N13&gt;$O$56 ), 3,
    IF( AND($L13=1,$M13&gt;$O$56 ), 2,
      IF( $L13=1, 1, 0)
  )
) + N("MIL3 tarkistus 1. rivillä, MIL2 tarkistus 2. rivillä, ja lopuksi MIL1 tarkistus.")</f>
        <v>0</v>
      </c>
      <c r="P13" s="217"/>
      <c r="Q13" s="234" t="s">
        <v>85</v>
      </c>
      <c r="R13" s="276" t="str">
        <f>Parameters!B72</f>
        <v>Kehitys
ohjelma</v>
      </c>
      <c r="S13" s="235">
        <f t="shared" ca="1" si="7"/>
        <v>0</v>
      </c>
      <c r="T13" s="236">
        <f>VLOOKUP(Data!$Q13,Table2[#All],2,FALSE)</f>
        <v>0</v>
      </c>
      <c r="U13" s="237">
        <f>VLOOKUP(Data!$Q13,Table4[#All],2,FALSE)</f>
        <v>0</v>
      </c>
      <c r="W13" s="278" t="str">
        <f ca="1">AB13&amp;"-"&amp;COUNTIF($AB$2:$AB13,$AB13)</f>
        <v>0-2-0-5</v>
      </c>
      <c r="X13" s="278" t="s">
        <v>173</v>
      </c>
      <c r="Y13" s="289">
        <f t="shared" ca="1" si="4"/>
        <v>0</v>
      </c>
      <c r="Z13" s="271">
        <v>2</v>
      </c>
      <c r="AA13" s="277">
        <f t="shared" ca="1" si="5"/>
        <v>0</v>
      </c>
      <c r="AB13" s="279" t="str">
        <f t="shared" ca="1" si="8"/>
        <v>0-2-0</v>
      </c>
    </row>
    <row r="14" spans="1:28" ht="12" thickBot="1" x14ac:dyDescent="0.3">
      <c r="A14" s="281" t="s">
        <v>64</v>
      </c>
      <c r="B14" s="281" t="s">
        <v>68</v>
      </c>
      <c r="C14" s="281" t="s">
        <v>174</v>
      </c>
      <c r="D14" s="281" t="s">
        <v>112</v>
      </c>
      <c r="E14" s="281">
        <v>2</v>
      </c>
      <c r="F14" s="222" t="str">
        <f t="shared" si="0"/>
        <v>ACCESS-22</v>
      </c>
      <c r="G14" s="222">
        <f t="shared" si="1"/>
        <v>3</v>
      </c>
      <c r="H14" s="284">
        <f t="shared" ca="1" si="2"/>
        <v>0</v>
      </c>
      <c r="I14" s="284">
        <f t="shared" ca="1" si="3"/>
        <v>0</v>
      </c>
      <c r="J14" s="287" t="s">
        <v>174</v>
      </c>
      <c r="K14" s="229" t="s">
        <v>55</v>
      </c>
      <c r="L14" s="37">
        <f t="shared" ca="1" si="11"/>
        <v>0</v>
      </c>
      <c r="M14" s="37">
        <f t="shared" ca="1" si="11"/>
        <v>0</v>
      </c>
      <c r="N14" s="37">
        <f t="shared" ca="1" si="11"/>
        <v>0</v>
      </c>
      <c r="O14" s="230">
        <f ca="1">IF( AND($L14=1,$M14=1,$N14&gt;$O$56 ), 3,
    IF( AND($L14=1,$M14&gt;$O$56 ), 2,
      IF( $L14=1, 1, 0)
  )
) + N("MIL3 tarkistus 1. rivillä, MIL2 tarkistus 2. rivillä, ja lopuksi MIL1 tarkistus.")</f>
        <v>0</v>
      </c>
      <c r="P14" s="217"/>
      <c r="Q14" s="217"/>
      <c r="R14" s="217"/>
      <c r="S14" s="217"/>
      <c r="T14" s="217"/>
      <c r="U14" s="217"/>
      <c r="V14" s="217"/>
      <c r="W14" s="278" t="str">
        <f ca="1">AB14&amp;"-"&amp;COUNTIF($AB$2:$AB14,$AB14)</f>
        <v>0-2-0-6</v>
      </c>
      <c r="X14" s="278" t="s">
        <v>174</v>
      </c>
      <c r="Y14" s="289">
        <f t="shared" ca="1" si="4"/>
        <v>0</v>
      </c>
      <c r="Z14" s="271">
        <v>2</v>
      </c>
      <c r="AA14" s="277">
        <f t="shared" ca="1" si="5"/>
        <v>0</v>
      </c>
      <c r="AB14" s="279" t="str">
        <f t="shared" ca="1" si="8"/>
        <v>0-2-0</v>
      </c>
    </row>
    <row r="15" spans="1:28" ht="12" thickBot="1" x14ac:dyDescent="0.3">
      <c r="A15" s="281" t="s">
        <v>64</v>
      </c>
      <c r="B15" s="281" t="s">
        <v>68</v>
      </c>
      <c r="C15" s="281" t="s">
        <v>175</v>
      </c>
      <c r="D15" s="281" t="s">
        <v>176</v>
      </c>
      <c r="E15" s="281">
        <v>3</v>
      </c>
      <c r="F15" s="222" t="str">
        <f t="shared" si="0"/>
        <v>ACCESS-23</v>
      </c>
      <c r="G15" s="222">
        <f t="shared" si="1"/>
        <v>2</v>
      </c>
      <c r="H15" s="284">
        <f t="shared" ca="1" si="2"/>
        <v>0</v>
      </c>
      <c r="I15" s="284">
        <f t="shared" ca="1" si="3"/>
        <v>0</v>
      </c>
      <c r="J15" s="287" t="s">
        <v>175</v>
      </c>
      <c r="K15" s="229" t="s">
        <v>57</v>
      </c>
      <c r="L15" s="37">
        <f t="shared" ca="1" si="11"/>
        <v>0</v>
      </c>
      <c r="M15" s="37">
        <f t="shared" ca="1" si="11"/>
        <v>0</v>
      </c>
      <c r="N15" s="37">
        <f t="shared" ca="1" si="11"/>
        <v>0</v>
      </c>
      <c r="O15" s="230">
        <f ca="1">IF( AND($L15=1,$M15=1,$N15&gt;$O$56 ), 3,
    IF( AND($L15=1,$M15&gt;$O$56 ), 2,
      IF( $L15=1, 1, 0)
  )
) + N("MIL3 tarkistus 1. rivillä, MIL2 tarkistus 2. rivillä, ja lopuksi MIL1 tarkistus.")</f>
        <v>0</v>
      </c>
      <c r="P15" s="217"/>
      <c r="Q15" s="238" t="s">
        <v>2461</v>
      </c>
      <c r="R15" s="239" t="s">
        <v>2462</v>
      </c>
      <c r="S15" s="220" t="s">
        <v>2463</v>
      </c>
      <c r="T15" s="220" t="s">
        <v>2464</v>
      </c>
      <c r="U15" s="221" t="s">
        <v>2465</v>
      </c>
      <c r="V15" s="217"/>
      <c r="W15" s="278" t="str">
        <f ca="1">AB15&amp;"-"&amp;COUNTIF($AB$2:$AB15,$AB15)</f>
        <v>0-3-0-2</v>
      </c>
      <c r="X15" s="278" t="s">
        <v>175</v>
      </c>
      <c r="Y15" s="289">
        <f t="shared" ca="1" si="4"/>
        <v>0</v>
      </c>
      <c r="Z15" s="271">
        <v>3</v>
      </c>
      <c r="AA15" s="277">
        <f t="shared" ca="1" si="5"/>
        <v>0</v>
      </c>
      <c r="AB15" s="279" t="str">
        <f t="shared" ca="1" si="8"/>
        <v>0-3-0</v>
      </c>
    </row>
    <row r="16" spans="1:28" x14ac:dyDescent="0.25">
      <c r="A16" s="281" t="s">
        <v>64</v>
      </c>
      <c r="B16" s="281" t="s">
        <v>68</v>
      </c>
      <c r="C16" s="281" t="s">
        <v>177</v>
      </c>
      <c r="D16" s="281" t="s">
        <v>178</v>
      </c>
      <c r="E16" s="281">
        <v>3</v>
      </c>
      <c r="F16" s="222" t="str">
        <f t="shared" si="0"/>
        <v>ACCESS-23</v>
      </c>
      <c r="G16" s="222">
        <f t="shared" si="1"/>
        <v>2</v>
      </c>
      <c r="H16" s="284">
        <f t="shared" ca="1" si="2"/>
        <v>0</v>
      </c>
      <c r="I16" s="284">
        <f t="shared" ca="1" si="3"/>
        <v>0</v>
      </c>
      <c r="J16" s="287" t="s">
        <v>177</v>
      </c>
      <c r="K16" s="229" t="s">
        <v>59</v>
      </c>
      <c r="L16" s="37">
        <f t="shared" ca="1" si="11"/>
        <v>0</v>
      </c>
      <c r="M16" s="37">
        <f t="shared" ca="1" si="11"/>
        <v>0</v>
      </c>
      <c r="N16" s="37">
        <f t="shared" ca="1" si="11"/>
        <v>0</v>
      </c>
      <c r="O16" s="230">
        <f ca="1">IF( AND($L16=1,$M16=1,$N16&gt;$O$56 ), 3,
    IF( AND($L16=1,$M16&gt;$O$56 ), 2,
      IF( $L16=1, 1, 0)
  )
) + N("MIL3 tarkistus 1. rivillä, MIL2 tarkistus 2. rivillä, ja lopuksi MIL1 tarkistus.")</f>
        <v>0</v>
      </c>
      <c r="P16" s="217"/>
      <c r="Q16" s="217"/>
      <c r="R16" s="240">
        <v>0.8</v>
      </c>
      <c r="S16" s="217">
        <v>1</v>
      </c>
      <c r="T16" s="217">
        <v>1</v>
      </c>
      <c r="U16" s="228">
        <v>0.5</v>
      </c>
      <c r="V16" s="217"/>
      <c r="W16" s="278" t="str">
        <f ca="1">AB16&amp;"-"&amp;COUNTIF($AB$2:$AB16,$AB16)</f>
        <v>0-3-0-3</v>
      </c>
      <c r="X16" s="278" t="s">
        <v>177</v>
      </c>
      <c r="Y16" s="289">
        <f t="shared" ca="1" si="4"/>
        <v>0</v>
      </c>
      <c r="Z16" s="271">
        <v>3</v>
      </c>
      <c r="AA16" s="277">
        <f t="shared" ca="1" si="5"/>
        <v>0</v>
      </c>
      <c r="AB16" s="279" t="str">
        <f t="shared" ca="1" si="8"/>
        <v>0-3-0</v>
      </c>
    </row>
    <row r="17" spans="1:28" x14ac:dyDescent="0.25">
      <c r="A17" s="281" t="s">
        <v>64</v>
      </c>
      <c r="B17" s="281" t="s">
        <v>71</v>
      </c>
      <c r="C17" s="281" t="s">
        <v>179</v>
      </c>
      <c r="D17" s="281" t="s">
        <v>25</v>
      </c>
      <c r="E17" s="281">
        <v>2</v>
      </c>
      <c r="F17" s="222" t="str">
        <f t="shared" si="0"/>
        <v>ACCESS-32</v>
      </c>
      <c r="G17" s="222">
        <f t="shared" si="1"/>
        <v>4</v>
      </c>
      <c r="H17" s="284">
        <f t="shared" ca="1" si="2"/>
        <v>0</v>
      </c>
      <c r="I17" s="284">
        <f t="shared" ca="1" si="3"/>
        <v>0</v>
      </c>
      <c r="J17" s="287" t="s">
        <v>179</v>
      </c>
      <c r="K17" s="229" t="s">
        <v>62</v>
      </c>
      <c r="L17" s="233">
        <v>1</v>
      </c>
      <c r="M17" s="37">
        <f ca="1">SUMIF($F:$F,CONCATENATE($K17,M$1),$I:$I) / VLOOKUP(CONCATENATE($K17,M$1),$F:$G,2,FALSE)</f>
        <v>0</v>
      </c>
      <c r="N17" s="37">
        <f ca="1">SUMIF($F:$F,CONCATENATE($K17,N$1),$I:$I) / VLOOKUP(CONCATENATE($K17,N$1),$F:$G,2,FALSE)</f>
        <v>0</v>
      </c>
      <c r="O17" s="230">
        <f ca="1">IF( AND($L17=1,$M17=1,$N17&gt;$O$56 ), 3,
    IF( AND($L17=1,$M17&gt;$O$56 ), 2,
      IF( $L17=1, 1, 0)
  )
) + N("MIL3 tarkistus 1. rivillä, MIL2 tarkistus 2. rivillä, ja lopuksi MIL1 tarkistus.")</f>
        <v>1</v>
      </c>
      <c r="P17" s="217"/>
      <c r="Q17" s="217"/>
      <c r="R17" s="240">
        <v>0.8</v>
      </c>
      <c r="S17" s="217">
        <v>1</v>
      </c>
      <c r="T17" s="217">
        <v>1</v>
      </c>
      <c r="U17" s="228">
        <v>0.5</v>
      </c>
      <c r="V17" s="217"/>
      <c r="W17" s="278" t="str">
        <f ca="1">AB17&amp;"-"&amp;COUNTIF($AB$2:$AB17,$AB17)</f>
        <v>1-2-0-1</v>
      </c>
      <c r="X17" s="278" t="s">
        <v>179</v>
      </c>
      <c r="Y17" s="289">
        <f t="shared" ca="1" si="4"/>
        <v>1</v>
      </c>
      <c r="Z17" s="271">
        <v>2</v>
      </c>
      <c r="AA17" s="277">
        <f t="shared" ca="1" si="5"/>
        <v>0</v>
      </c>
      <c r="AB17" s="279" t="str">
        <f t="shared" ca="1" si="8"/>
        <v>1-2-0</v>
      </c>
    </row>
    <row r="18" spans="1:28" x14ac:dyDescent="0.25">
      <c r="A18" s="281" t="s">
        <v>64</v>
      </c>
      <c r="B18" s="281" t="s">
        <v>71</v>
      </c>
      <c r="C18" s="281" t="s">
        <v>180</v>
      </c>
      <c r="D18" s="281" t="s">
        <v>26</v>
      </c>
      <c r="E18" s="281">
        <v>2</v>
      </c>
      <c r="F18" s="222" t="str">
        <f t="shared" si="0"/>
        <v>ACCESS-32</v>
      </c>
      <c r="G18" s="222">
        <f t="shared" si="1"/>
        <v>4</v>
      </c>
      <c r="H18" s="284">
        <f t="shared" ca="1" si="2"/>
        <v>0</v>
      </c>
      <c r="I18" s="284">
        <f t="shared" ca="1" si="3"/>
        <v>0</v>
      </c>
      <c r="J18" s="287" t="s">
        <v>180</v>
      </c>
      <c r="K18" s="223" t="s">
        <v>60</v>
      </c>
      <c r="L18" s="223"/>
      <c r="M18" s="223"/>
      <c r="N18" s="223"/>
      <c r="O18" s="224">
        <f ca="1">MIN(O19:O21)</f>
        <v>0</v>
      </c>
      <c r="P18" s="225"/>
      <c r="Q18" s="225"/>
      <c r="R18" s="240">
        <v>0.8</v>
      </c>
      <c r="S18" s="217">
        <v>1</v>
      </c>
      <c r="T18" s="217">
        <v>1</v>
      </c>
      <c r="U18" s="228">
        <v>0.5</v>
      </c>
      <c r="V18" s="225"/>
      <c r="W18" s="278" t="str">
        <f ca="1">AB18&amp;"-"&amp;COUNTIF($AB$2:$AB18,$AB18)</f>
        <v>1-2-0-2</v>
      </c>
      <c r="X18" s="278" t="s">
        <v>180</v>
      </c>
      <c r="Y18" s="289">
        <f t="shared" ca="1" si="4"/>
        <v>1</v>
      </c>
      <c r="Z18" s="271">
        <v>2</v>
      </c>
      <c r="AA18" s="277">
        <f t="shared" ca="1" si="5"/>
        <v>0</v>
      </c>
      <c r="AB18" s="279" t="str">
        <f t="shared" ca="1" si="8"/>
        <v>1-2-0</v>
      </c>
    </row>
    <row r="19" spans="1:28" x14ac:dyDescent="0.25">
      <c r="A19" s="281" t="s">
        <v>64</v>
      </c>
      <c r="B19" s="281" t="s">
        <v>71</v>
      </c>
      <c r="C19" s="281" t="s">
        <v>181</v>
      </c>
      <c r="D19" s="281" t="s">
        <v>27</v>
      </c>
      <c r="E19" s="281">
        <v>2</v>
      </c>
      <c r="F19" s="222" t="str">
        <f t="shared" si="0"/>
        <v>ACCESS-32</v>
      </c>
      <c r="G19" s="222">
        <f t="shared" si="1"/>
        <v>4</v>
      </c>
      <c r="H19" s="284">
        <f t="shared" ca="1" si="2"/>
        <v>0</v>
      </c>
      <c r="I19" s="284">
        <f t="shared" ca="1" si="3"/>
        <v>0</v>
      </c>
      <c r="J19" s="287" t="s">
        <v>181</v>
      </c>
      <c r="K19" s="229" t="s">
        <v>157</v>
      </c>
      <c r="L19" s="37">
        <f t="shared" ref="L19:N21" ca="1" si="12">SUMIF($F:$F,CONCATENATE($K19,L$1),$I:$I) / VLOOKUP(CONCATENATE($K19,L$1),$F:$G,2,FALSE)</f>
        <v>0</v>
      </c>
      <c r="M19" s="37">
        <f t="shared" ca="1" si="12"/>
        <v>0</v>
      </c>
      <c r="N19" s="37">
        <f t="shared" ca="1" si="12"/>
        <v>0</v>
      </c>
      <c r="O19" s="230">
        <f ca="1">IF( AND($L19=1,$M19=1,$N19&gt;$O$56 ), 3,
    IF( AND($L19=1,$M19&gt;$O$56 ), 2,
      IF( $L19=1, 1, 0)
  )
) + N("MIL3 tarkistus 1. rivillä, MIL2 tarkistus 2. rivillä, ja lopuksi MIL1 tarkistus.")</f>
        <v>0</v>
      </c>
      <c r="P19" s="217"/>
      <c r="Q19" s="217"/>
      <c r="R19" s="240">
        <v>0.8</v>
      </c>
      <c r="S19" s="217">
        <v>1</v>
      </c>
      <c r="T19" s="217">
        <v>1</v>
      </c>
      <c r="U19" s="228">
        <v>0.5</v>
      </c>
      <c r="V19" s="217"/>
      <c r="W19" s="278" t="str">
        <f ca="1">AB19&amp;"-"&amp;COUNTIF($AB$2:$AB19,$AB19)</f>
        <v>1-2-0-3</v>
      </c>
      <c r="X19" s="278" t="s">
        <v>181</v>
      </c>
      <c r="Y19" s="289">
        <f t="shared" ca="1" si="4"/>
        <v>1</v>
      </c>
      <c r="Z19" s="271">
        <v>2</v>
      </c>
      <c r="AA19" s="277">
        <f t="shared" ca="1" si="5"/>
        <v>0</v>
      </c>
      <c r="AB19" s="279" t="str">
        <f t="shared" ca="1" si="8"/>
        <v>1-2-0</v>
      </c>
    </row>
    <row r="20" spans="1:28" x14ac:dyDescent="0.25">
      <c r="A20" s="281" t="s">
        <v>64</v>
      </c>
      <c r="B20" s="281" t="s">
        <v>71</v>
      </c>
      <c r="C20" s="281" t="s">
        <v>182</v>
      </c>
      <c r="D20" s="281" t="s">
        <v>28</v>
      </c>
      <c r="E20" s="281">
        <v>2</v>
      </c>
      <c r="F20" s="222" t="str">
        <f t="shared" si="0"/>
        <v>ACCESS-32</v>
      </c>
      <c r="G20" s="222">
        <f t="shared" si="1"/>
        <v>4</v>
      </c>
      <c r="H20" s="284">
        <f t="shared" ca="1" si="2"/>
        <v>0</v>
      </c>
      <c r="I20" s="284">
        <f t="shared" ca="1" si="3"/>
        <v>0</v>
      </c>
      <c r="J20" s="287" t="s">
        <v>182</v>
      </c>
      <c r="K20" s="229" t="s">
        <v>160</v>
      </c>
      <c r="L20" s="37">
        <f t="shared" ca="1" si="12"/>
        <v>0</v>
      </c>
      <c r="M20" s="37">
        <f t="shared" ca="1" si="12"/>
        <v>0</v>
      </c>
      <c r="N20" s="37">
        <f t="shared" ca="1" si="12"/>
        <v>0</v>
      </c>
      <c r="O20" s="230">
        <f ca="1">IF( AND($L20=1,$M20=1,$N20&gt;$O$56 ), 3,
    IF( AND($L20=1,$M20&gt;$O$56 ), 2,
      IF( $L20=1, 1, 0)
  )
) + N("MIL3 tarkistus 1. rivillä, MIL2 tarkistus 2. rivillä, ja lopuksi MIL1 tarkistus.")</f>
        <v>0</v>
      </c>
      <c r="P20" s="217"/>
      <c r="Q20" s="217"/>
      <c r="R20" s="240">
        <v>0.8</v>
      </c>
      <c r="S20" s="217">
        <v>1</v>
      </c>
      <c r="T20" s="217">
        <v>1</v>
      </c>
      <c r="U20" s="228">
        <v>0.5</v>
      </c>
      <c r="V20" s="217"/>
      <c r="W20" s="278" t="str">
        <f ca="1">AB20&amp;"-"&amp;COUNTIF($AB$2:$AB20,$AB20)</f>
        <v>1-2-0-4</v>
      </c>
      <c r="X20" s="278" t="s">
        <v>182</v>
      </c>
      <c r="Y20" s="289">
        <f t="shared" ca="1" si="4"/>
        <v>1</v>
      </c>
      <c r="Z20" s="271">
        <v>2</v>
      </c>
      <c r="AA20" s="277">
        <f t="shared" ca="1" si="5"/>
        <v>0</v>
      </c>
      <c r="AB20" s="279" t="str">
        <f t="shared" ca="1" si="8"/>
        <v>1-2-0</v>
      </c>
    </row>
    <row r="21" spans="1:28" x14ac:dyDescent="0.25">
      <c r="A21" s="281" t="s">
        <v>64</v>
      </c>
      <c r="B21" s="281" t="s">
        <v>71</v>
      </c>
      <c r="C21" s="281" t="s">
        <v>183</v>
      </c>
      <c r="D21" s="281" t="s">
        <v>29</v>
      </c>
      <c r="E21" s="281">
        <v>3</v>
      </c>
      <c r="F21" s="222" t="str">
        <f t="shared" si="0"/>
        <v>ACCESS-33</v>
      </c>
      <c r="G21" s="222">
        <f t="shared" si="1"/>
        <v>3</v>
      </c>
      <c r="H21" s="284">
        <f t="shared" ca="1" si="2"/>
        <v>0</v>
      </c>
      <c r="I21" s="284">
        <f t="shared" ca="1" si="3"/>
        <v>0</v>
      </c>
      <c r="J21" s="287" t="s">
        <v>183</v>
      </c>
      <c r="K21" s="229" t="s">
        <v>162</v>
      </c>
      <c r="L21" s="37">
        <f t="shared" ca="1" si="12"/>
        <v>0</v>
      </c>
      <c r="M21" s="37">
        <f t="shared" ca="1" si="12"/>
        <v>0</v>
      </c>
      <c r="N21" s="37">
        <f t="shared" ca="1" si="12"/>
        <v>0</v>
      </c>
      <c r="O21" s="230">
        <f ca="1">IF( AND($L21=1,$M21=1,$N21&gt;$O$56 ), 3,
    IF( AND($L21=1,$M21&gt;$O$56 ), 2,
      IF( $L21=1, 1, 0)
  )
) + N("MIL3 tarkistus 1. rivillä, MIL2 tarkistus 2. rivillä, ja lopuksi MIL1 tarkistus.")</f>
        <v>0</v>
      </c>
      <c r="P21" s="217"/>
      <c r="Q21" s="217"/>
      <c r="R21" s="240">
        <v>0.8</v>
      </c>
      <c r="S21" s="217">
        <v>1</v>
      </c>
      <c r="T21" s="217">
        <v>1</v>
      </c>
      <c r="U21" s="228">
        <v>0.5</v>
      </c>
      <c r="V21" s="217"/>
      <c r="W21" s="278" t="str">
        <f ca="1">AB21&amp;"-"&amp;COUNTIF($AB$2:$AB21,$AB21)</f>
        <v>1-3-0-1</v>
      </c>
      <c r="X21" s="278" t="s">
        <v>183</v>
      </c>
      <c r="Y21" s="289">
        <f t="shared" ca="1" si="4"/>
        <v>1</v>
      </c>
      <c r="Z21" s="271">
        <v>3</v>
      </c>
      <c r="AA21" s="277">
        <f t="shared" ca="1" si="5"/>
        <v>0</v>
      </c>
      <c r="AB21" s="279" t="str">
        <f t="shared" ca="1" si="8"/>
        <v>1-3-0</v>
      </c>
    </row>
    <row r="22" spans="1:28" x14ac:dyDescent="0.25">
      <c r="A22" s="281" t="s">
        <v>64</v>
      </c>
      <c r="B22" s="281" t="s">
        <v>71</v>
      </c>
      <c r="C22" s="281" t="s">
        <v>184</v>
      </c>
      <c r="D22" s="281" t="s">
        <v>30</v>
      </c>
      <c r="E22" s="281">
        <v>3</v>
      </c>
      <c r="F22" s="222" t="str">
        <f t="shared" si="0"/>
        <v>ACCESS-33</v>
      </c>
      <c r="G22" s="222">
        <f t="shared" si="1"/>
        <v>3</v>
      </c>
      <c r="H22" s="284">
        <f t="shared" ca="1" si="2"/>
        <v>0</v>
      </c>
      <c r="I22" s="284">
        <f t="shared" ca="1" si="3"/>
        <v>0</v>
      </c>
      <c r="J22" s="287" t="s">
        <v>184</v>
      </c>
      <c r="K22" s="223" t="s">
        <v>77</v>
      </c>
      <c r="L22" s="223"/>
      <c r="M22" s="223"/>
      <c r="N22" s="223"/>
      <c r="O22" s="224">
        <f ca="1">MIN(O23:O25)</f>
        <v>0</v>
      </c>
      <c r="P22" s="225"/>
      <c r="Q22" s="225"/>
      <c r="R22" s="240">
        <v>0.8</v>
      </c>
      <c r="S22" s="217">
        <v>1</v>
      </c>
      <c r="T22" s="217">
        <v>1</v>
      </c>
      <c r="U22" s="228">
        <v>0.5</v>
      </c>
      <c r="V22" s="225"/>
      <c r="W22" s="278" t="str">
        <f ca="1">AB22&amp;"-"&amp;COUNTIF($AB$2:$AB22,$AB22)</f>
        <v>1-3-0-2</v>
      </c>
      <c r="X22" s="278" t="s">
        <v>184</v>
      </c>
      <c r="Y22" s="289">
        <f t="shared" ca="1" si="4"/>
        <v>1</v>
      </c>
      <c r="Z22" s="271">
        <v>3</v>
      </c>
      <c r="AA22" s="277">
        <f t="shared" ca="1" si="5"/>
        <v>0</v>
      </c>
      <c r="AB22" s="279" t="str">
        <f t="shared" ca="1" si="8"/>
        <v>1-3-0</v>
      </c>
    </row>
    <row r="23" spans="1:28" x14ac:dyDescent="0.25">
      <c r="A23" s="281" t="s">
        <v>64</v>
      </c>
      <c r="B23" s="281" t="s">
        <v>71</v>
      </c>
      <c r="C23" s="281" t="s">
        <v>185</v>
      </c>
      <c r="D23" s="281" t="s">
        <v>31</v>
      </c>
      <c r="E23" s="281">
        <v>3</v>
      </c>
      <c r="F23" s="222" t="str">
        <f t="shared" si="0"/>
        <v>ACCESS-33</v>
      </c>
      <c r="G23" s="222">
        <f t="shared" si="1"/>
        <v>3</v>
      </c>
      <c r="H23" s="284">
        <f t="shared" ca="1" si="2"/>
        <v>0</v>
      </c>
      <c r="I23" s="284">
        <f t="shared" ca="1" si="3"/>
        <v>0</v>
      </c>
      <c r="J23" s="287" t="s">
        <v>185</v>
      </c>
      <c r="K23" s="229" t="s">
        <v>105</v>
      </c>
      <c r="L23" s="37">
        <f t="shared" ref="L23:N24" ca="1" si="13">SUMIF($F:$F,CONCATENATE($K23,L$1),$I:$I) / VLOOKUP(CONCATENATE($K23,L$1),$F:$G,2,FALSE)</f>
        <v>0</v>
      </c>
      <c r="M23" s="37">
        <f t="shared" ca="1" si="13"/>
        <v>0</v>
      </c>
      <c r="N23" s="37">
        <f t="shared" ca="1" si="13"/>
        <v>0</v>
      </c>
      <c r="O23" s="230">
        <f ca="1">IF( AND($L23=1,$M23=1,$N23&gt;$O$56 ), 3,
    IF( AND($L23=1,$M23&gt;$O$56 ), 2,
      IF( $L23=1, 1, 0)
  )
) + N("MIL3 tarkistus 1. rivillä, MIL2 tarkistus 2. rivillä, ja lopuksi MIL1 tarkistus.")</f>
        <v>0</v>
      </c>
      <c r="P23" s="217"/>
      <c r="Q23" s="217"/>
      <c r="R23" s="240">
        <v>0.8</v>
      </c>
      <c r="S23" s="217">
        <v>1</v>
      </c>
      <c r="T23" s="217">
        <v>1</v>
      </c>
      <c r="U23" s="228">
        <v>0.5</v>
      </c>
      <c r="V23" s="217"/>
      <c r="W23" s="278" t="str">
        <f ca="1">AB23&amp;"-"&amp;COUNTIF($AB$2:$AB23,$AB23)</f>
        <v>1-3-0-3</v>
      </c>
      <c r="X23" s="278" t="s">
        <v>185</v>
      </c>
      <c r="Y23" s="289">
        <f t="shared" ca="1" si="4"/>
        <v>1</v>
      </c>
      <c r="Z23" s="271">
        <v>3</v>
      </c>
      <c r="AA23" s="277">
        <f t="shared" ca="1" si="5"/>
        <v>0</v>
      </c>
      <c r="AB23" s="279" t="str">
        <f t="shared" ca="1" si="8"/>
        <v>1-3-0</v>
      </c>
    </row>
    <row r="24" spans="1:28" x14ac:dyDescent="0.25">
      <c r="A24" s="281" t="s">
        <v>83</v>
      </c>
      <c r="B24" s="281" t="s">
        <v>124</v>
      </c>
      <c r="C24" s="281" t="s">
        <v>349</v>
      </c>
      <c r="D24" s="281" t="s">
        <v>7</v>
      </c>
      <c r="E24" s="281">
        <v>1</v>
      </c>
      <c r="F24" s="222" t="str">
        <f t="shared" si="0"/>
        <v>ARCHITECTURE-11</v>
      </c>
      <c r="G24" s="222">
        <f t="shared" si="1"/>
        <v>1</v>
      </c>
      <c r="H24" s="284">
        <f t="shared" ca="1" si="2"/>
        <v>0</v>
      </c>
      <c r="I24" s="284">
        <f t="shared" ca="1" si="3"/>
        <v>0</v>
      </c>
      <c r="J24" s="287" t="s">
        <v>349</v>
      </c>
      <c r="K24" s="229" t="s">
        <v>107</v>
      </c>
      <c r="L24" s="37">
        <f t="shared" ca="1" si="13"/>
        <v>0</v>
      </c>
      <c r="M24" s="37">
        <f t="shared" ca="1" si="13"/>
        <v>0</v>
      </c>
      <c r="N24" s="37">
        <f t="shared" ca="1" si="13"/>
        <v>0</v>
      </c>
      <c r="O24" s="230">
        <f ca="1">IF( AND($L24=1,$M24=1,$N24&gt;$O$56 ), 3,
    IF( AND($L24=1,$M24&gt;$O$56 ), 2,
      IF( $L24=1, 1, 0)
  )
) + N("MIL3 tarkistus 1. rivillä, MIL2 tarkistus 2. rivillä, ja lopuksi MIL1 tarkistus.")</f>
        <v>0</v>
      </c>
      <c r="P24" s="217"/>
      <c r="Q24" s="217"/>
      <c r="R24" s="240">
        <v>0.8</v>
      </c>
      <c r="S24" s="217">
        <v>1</v>
      </c>
      <c r="T24" s="217">
        <v>1</v>
      </c>
      <c r="U24" s="228">
        <v>0.5</v>
      </c>
      <c r="V24" s="217"/>
      <c r="W24" s="278" t="str">
        <f ca="1">AB24&amp;"-"&amp;COUNTIF($AB$2:$AB24,$AB24)</f>
        <v>0-1-0-7</v>
      </c>
      <c r="X24" s="278" t="s">
        <v>349</v>
      </c>
      <c r="Y24" s="289">
        <f t="shared" ca="1" si="4"/>
        <v>0</v>
      </c>
      <c r="Z24" s="271">
        <v>1</v>
      </c>
      <c r="AA24" s="277">
        <f t="shared" ca="1" si="5"/>
        <v>0</v>
      </c>
      <c r="AB24" s="279" t="str">
        <f t="shared" ca="1" si="8"/>
        <v>0-1-0</v>
      </c>
    </row>
    <row r="25" spans="1:28" x14ac:dyDescent="0.25">
      <c r="A25" s="281" t="s">
        <v>83</v>
      </c>
      <c r="B25" s="281" t="s">
        <v>124</v>
      </c>
      <c r="C25" s="281" t="s">
        <v>350</v>
      </c>
      <c r="D25" s="281" t="s">
        <v>9</v>
      </c>
      <c r="E25" s="281">
        <v>2</v>
      </c>
      <c r="F25" s="222" t="str">
        <f t="shared" si="0"/>
        <v>ARCHITECTURE-12</v>
      </c>
      <c r="G25" s="222">
        <f t="shared" si="1"/>
        <v>5</v>
      </c>
      <c r="H25" s="284">
        <f t="shared" ca="1" si="2"/>
        <v>0</v>
      </c>
      <c r="I25" s="284">
        <f t="shared" ca="1" si="3"/>
        <v>0</v>
      </c>
      <c r="J25" s="287" t="s">
        <v>350</v>
      </c>
      <c r="K25" s="229" t="s">
        <v>109</v>
      </c>
      <c r="L25" s="233">
        <v>1</v>
      </c>
      <c r="M25" s="37">
        <f ca="1">SUMIF($F:$F,CONCATENATE($K25,M$1),$I:$I) / VLOOKUP(CONCATENATE($K25,M$1),$F:$G,2,FALSE)</f>
        <v>0</v>
      </c>
      <c r="N25" s="37">
        <f ca="1">SUMIF($F:$F,CONCATENATE($K25,N$1),$I:$I) / VLOOKUP(CONCATENATE($K25,N$1),$F:$G,2,FALSE)</f>
        <v>0</v>
      </c>
      <c r="O25" s="230">
        <f ca="1">IF( AND($L25=1,$M25=1,$N25&gt;$O$56 ), 3,
    IF( AND($L25=1,$M25&gt;$O$56 ), 2,
      IF( $L25=1, 1, 0)
  )
) + N("MIL3 tarkistus 1. rivillä, MIL2 tarkistus 2. rivillä, ja lopuksi MIL1 tarkistus.")</f>
        <v>1</v>
      </c>
      <c r="P25" s="217"/>
      <c r="Q25" s="217"/>
      <c r="R25" s="240">
        <v>0.8</v>
      </c>
      <c r="S25" s="217">
        <v>1</v>
      </c>
      <c r="T25" s="217">
        <v>1</v>
      </c>
      <c r="U25" s="228">
        <v>0.5</v>
      </c>
      <c r="V25" s="217"/>
      <c r="W25" s="278" t="str">
        <f ca="1">AB25&amp;"-"&amp;COUNTIF($AB$2:$AB25,$AB25)</f>
        <v>0-2-0-7</v>
      </c>
      <c r="X25" s="278" t="s">
        <v>350</v>
      </c>
      <c r="Y25" s="289">
        <f t="shared" ca="1" si="4"/>
        <v>0</v>
      </c>
      <c r="Z25" s="271">
        <v>2</v>
      </c>
      <c r="AA25" s="277">
        <f t="shared" ca="1" si="5"/>
        <v>0</v>
      </c>
      <c r="AB25" s="279" t="str">
        <f t="shared" ca="1" si="8"/>
        <v>0-2-0</v>
      </c>
    </row>
    <row r="26" spans="1:28" x14ac:dyDescent="0.25">
      <c r="A26" s="281" t="s">
        <v>83</v>
      </c>
      <c r="B26" s="281" t="s">
        <v>124</v>
      </c>
      <c r="C26" s="281" t="s">
        <v>351</v>
      </c>
      <c r="D26" s="281" t="s">
        <v>10</v>
      </c>
      <c r="E26" s="281">
        <v>2</v>
      </c>
      <c r="F26" s="222" t="str">
        <f t="shared" si="0"/>
        <v>ARCHITECTURE-12</v>
      </c>
      <c r="G26" s="222">
        <f t="shared" si="1"/>
        <v>5</v>
      </c>
      <c r="H26" s="284">
        <f t="shared" ca="1" si="2"/>
        <v>0</v>
      </c>
      <c r="I26" s="284">
        <f t="shared" ca="1" si="3"/>
        <v>0</v>
      </c>
      <c r="J26" s="287" t="s">
        <v>351</v>
      </c>
      <c r="K26" s="223" t="s">
        <v>85</v>
      </c>
      <c r="L26" s="241"/>
      <c r="M26" s="241"/>
      <c r="N26" s="241"/>
      <c r="O26" s="224">
        <f ca="1">MIN(O27:O30)</f>
        <v>0</v>
      </c>
      <c r="P26" s="225"/>
      <c r="Q26" s="225"/>
      <c r="R26" s="242">
        <v>0.8</v>
      </c>
      <c r="S26" s="236">
        <v>1</v>
      </c>
      <c r="T26" s="236">
        <v>1</v>
      </c>
      <c r="U26" s="237">
        <v>0.5</v>
      </c>
      <c r="V26" s="225"/>
      <c r="W26" s="278" t="str">
        <f ca="1">AB26&amp;"-"&amp;COUNTIF($AB$2:$AB26,$AB26)</f>
        <v>0-2-0-8</v>
      </c>
      <c r="X26" s="278" t="s">
        <v>351</v>
      </c>
      <c r="Y26" s="289">
        <f t="shared" ca="1" si="4"/>
        <v>0</v>
      </c>
      <c r="Z26" s="271">
        <v>2</v>
      </c>
      <c r="AA26" s="277">
        <f t="shared" ca="1" si="5"/>
        <v>0</v>
      </c>
      <c r="AB26" s="279" t="str">
        <f t="shared" ca="1" si="8"/>
        <v>0-2-0</v>
      </c>
    </row>
    <row r="27" spans="1:28" x14ac:dyDescent="0.25">
      <c r="A27" s="281" t="s">
        <v>83</v>
      </c>
      <c r="B27" s="281" t="s">
        <v>124</v>
      </c>
      <c r="C27" s="281" t="s">
        <v>352</v>
      </c>
      <c r="D27" s="281" t="s">
        <v>11</v>
      </c>
      <c r="E27" s="281">
        <v>2</v>
      </c>
      <c r="F27" s="222" t="str">
        <f t="shared" si="0"/>
        <v>ARCHITECTURE-12</v>
      </c>
      <c r="G27" s="222">
        <f t="shared" si="1"/>
        <v>5</v>
      </c>
      <c r="H27" s="284">
        <f t="shared" ca="1" si="2"/>
        <v>0</v>
      </c>
      <c r="I27" s="284">
        <f t="shared" ca="1" si="3"/>
        <v>0</v>
      </c>
      <c r="J27" s="287" t="s">
        <v>352</v>
      </c>
      <c r="K27" s="229" t="s">
        <v>141</v>
      </c>
      <c r="L27" s="37">
        <f t="shared" ref="L27:N29" ca="1" si="14">SUMIF($F:$F,CONCATENATE($K27,L$1),$I:$I) / VLOOKUP(CONCATENATE($K27,L$1),$F:$G,2,FALSE)</f>
        <v>0</v>
      </c>
      <c r="M27" s="37">
        <f t="shared" ca="1" si="14"/>
        <v>0</v>
      </c>
      <c r="N27" s="37">
        <f t="shared" ca="1" si="14"/>
        <v>0</v>
      </c>
      <c r="O27" s="230">
        <f ca="1">IF( AND($L27=1,$M27=1,$N27&gt;$O$56 ), 3,
    IF( AND($L27=1,$M27&gt;$O$56 ), 2,
      IF( $L27=1, 1, 0)
  )
) + N("MIL3 tarkistus 1. rivillä, MIL2 tarkistus 2. rivillä, ja lopuksi MIL1 tarkistus.")</f>
        <v>0</v>
      </c>
      <c r="P27" s="217"/>
      <c r="Q27" s="217"/>
      <c r="R27" s="217"/>
      <c r="V27" s="217"/>
      <c r="W27" s="278" t="str">
        <f ca="1">AB27&amp;"-"&amp;COUNTIF($AB$2:$AB27,$AB27)</f>
        <v>0-2-0-9</v>
      </c>
      <c r="X27" s="278" t="s">
        <v>352</v>
      </c>
      <c r="Y27" s="289">
        <f t="shared" ca="1" si="4"/>
        <v>0</v>
      </c>
      <c r="Z27" s="271">
        <v>2</v>
      </c>
      <c r="AA27" s="277">
        <f t="shared" ca="1" si="5"/>
        <v>0</v>
      </c>
      <c r="AB27" s="279" t="str">
        <f t="shared" ca="1" si="8"/>
        <v>0-2-0</v>
      </c>
    </row>
    <row r="28" spans="1:28" x14ac:dyDescent="0.25">
      <c r="A28" s="281" t="s">
        <v>83</v>
      </c>
      <c r="B28" s="281" t="s">
        <v>124</v>
      </c>
      <c r="C28" s="281" t="s">
        <v>353</v>
      </c>
      <c r="D28" s="281" t="s">
        <v>12</v>
      </c>
      <c r="E28" s="281">
        <v>2</v>
      </c>
      <c r="F28" s="222" t="str">
        <f t="shared" si="0"/>
        <v>ARCHITECTURE-12</v>
      </c>
      <c r="G28" s="222">
        <f t="shared" si="1"/>
        <v>5</v>
      </c>
      <c r="H28" s="284">
        <f t="shared" ca="1" si="2"/>
        <v>0</v>
      </c>
      <c r="I28" s="284">
        <f t="shared" ca="1" si="3"/>
        <v>0</v>
      </c>
      <c r="J28" s="287" t="s">
        <v>353</v>
      </c>
      <c r="K28" s="229" t="s">
        <v>144</v>
      </c>
      <c r="L28" s="37">
        <f t="shared" ca="1" si="14"/>
        <v>0</v>
      </c>
      <c r="M28" s="37">
        <f t="shared" ca="1" si="14"/>
        <v>0</v>
      </c>
      <c r="N28" s="37">
        <f t="shared" ca="1" si="14"/>
        <v>0</v>
      </c>
      <c r="O28" s="230">
        <f ca="1">IF( AND($L28=1,$M28=1,$N28&gt;$O$56 ), 3,
    IF( AND($L28=1,$M28&gt;$O$56 ), 2,
      IF( $L28=1, 1, 0)
  )
) + N("MIL3 tarkistus 1. rivillä, MIL2 tarkistus 2. rivillä, ja lopuksi MIL1 tarkistus.")</f>
        <v>0</v>
      </c>
      <c r="P28" s="217"/>
      <c r="Q28" s="217"/>
      <c r="R28" s="217"/>
      <c r="V28" s="217"/>
      <c r="W28" s="278" t="str">
        <f ca="1">AB28&amp;"-"&amp;COUNTIF($AB$2:$AB28,$AB28)</f>
        <v>0-2-0-10</v>
      </c>
      <c r="X28" s="278" t="s">
        <v>353</v>
      </c>
      <c r="Y28" s="289">
        <f t="shared" ca="1" si="4"/>
        <v>0</v>
      </c>
      <c r="Z28" s="271">
        <v>2</v>
      </c>
      <c r="AA28" s="277">
        <f t="shared" ca="1" si="5"/>
        <v>0</v>
      </c>
      <c r="AB28" s="279" t="str">
        <f t="shared" ca="1" si="8"/>
        <v>0-2-0</v>
      </c>
    </row>
    <row r="29" spans="1:28" x14ac:dyDescent="0.25">
      <c r="A29" s="281" t="s">
        <v>83</v>
      </c>
      <c r="B29" s="281" t="s">
        <v>124</v>
      </c>
      <c r="C29" s="281" t="s">
        <v>354</v>
      </c>
      <c r="D29" s="281" t="s">
        <v>13</v>
      </c>
      <c r="E29" s="281">
        <v>2</v>
      </c>
      <c r="F29" s="222" t="str">
        <f t="shared" si="0"/>
        <v>ARCHITECTURE-12</v>
      </c>
      <c r="G29" s="222">
        <f t="shared" si="1"/>
        <v>5</v>
      </c>
      <c r="H29" s="284">
        <f t="shared" ca="1" si="2"/>
        <v>0</v>
      </c>
      <c r="I29" s="284">
        <f t="shared" ca="1" si="3"/>
        <v>0</v>
      </c>
      <c r="J29" s="287" t="s">
        <v>354</v>
      </c>
      <c r="K29" s="229" t="s">
        <v>147</v>
      </c>
      <c r="L29" s="37">
        <f t="shared" ca="1" si="14"/>
        <v>0</v>
      </c>
      <c r="M29" s="37">
        <f t="shared" ca="1" si="14"/>
        <v>0</v>
      </c>
      <c r="N29" s="37">
        <f t="shared" ca="1" si="14"/>
        <v>0</v>
      </c>
      <c r="O29" s="230">
        <f ca="1">IF( AND($L29=1,$M29=1,$N29&gt;$O$56 ), 3,
    IF( AND($L29=1,$M29&gt;$O$56 ), 2,
      IF( $L29=1, 1, 0)
  )
) + N("MIL3 tarkistus 1. rivillä, MIL2 tarkistus 2. rivillä, ja lopuksi MIL1 tarkistus.")</f>
        <v>0</v>
      </c>
      <c r="P29" s="217"/>
      <c r="Q29" s="217"/>
      <c r="R29" s="217"/>
      <c r="V29" s="217"/>
      <c r="W29" s="278" t="str">
        <f ca="1">AB29&amp;"-"&amp;COUNTIF($AB$2:$AB29,$AB29)</f>
        <v>0-2-0-11</v>
      </c>
      <c r="X29" s="278" t="s">
        <v>354</v>
      </c>
      <c r="Y29" s="289">
        <f t="shared" ca="1" si="4"/>
        <v>0</v>
      </c>
      <c r="Z29" s="271">
        <v>2</v>
      </c>
      <c r="AA29" s="277">
        <f t="shared" ca="1" si="5"/>
        <v>0</v>
      </c>
      <c r="AB29" s="279" t="str">
        <f t="shared" ca="1" si="8"/>
        <v>0-2-0</v>
      </c>
    </row>
    <row r="30" spans="1:28" x14ac:dyDescent="0.25">
      <c r="A30" s="281" t="s">
        <v>83</v>
      </c>
      <c r="B30" s="281" t="s">
        <v>124</v>
      </c>
      <c r="C30" s="281" t="s">
        <v>355</v>
      </c>
      <c r="D30" s="281" t="s">
        <v>14</v>
      </c>
      <c r="E30" s="281">
        <v>3</v>
      </c>
      <c r="F30" s="222" t="str">
        <f t="shared" si="0"/>
        <v>ARCHITECTURE-13</v>
      </c>
      <c r="G30" s="222">
        <f t="shared" si="1"/>
        <v>3</v>
      </c>
      <c r="H30" s="284">
        <f t="shared" ca="1" si="2"/>
        <v>0</v>
      </c>
      <c r="I30" s="284">
        <f t="shared" ca="1" si="3"/>
        <v>0</v>
      </c>
      <c r="J30" s="287" t="s">
        <v>355</v>
      </c>
      <c r="K30" s="229" t="s">
        <v>150</v>
      </c>
      <c r="L30" s="233">
        <v>1</v>
      </c>
      <c r="M30" s="37">
        <f ca="1">SUMIF($F:$F,CONCATENATE($K30,M$1),$I:$I) / VLOOKUP(CONCATENATE($K30,M$1),$F:$G,2,FALSE)</f>
        <v>0</v>
      </c>
      <c r="N30" s="37">
        <f ca="1">SUMIF($F:$F,CONCATENATE($K30,N$1),$I:$I) / VLOOKUP(CONCATENATE($K30,N$1),$F:$G,2,FALSE)</f>
        <v>0</v>
      </c>
      <c r="O30" s="230">
        <f ca="1">IF( AND($L30=1,$M30=1,$N30&gt;$O$56 ), 3,
    IF( AND($L30=1,$M30&gt;$O$56 ), 2,
      IF( $L30=1, 1, 0)
  )
) + N("MIL3 tarkistus 1. rivillä, MIL2 tarkistus 2. rivillä, ja lopuksi MIL1 tarkistus.")</f>
        <v>1</v>
      </c>
      <c r="P30" s="217"/>
      <c r="Q30" s="217"/>
      <c r="R30" s="217"/>
      <c r="V30" s="217"/>
      <c r="W30" s="278" t="str">
        <f ca="1">AB30&amp;"-"&amp;COUNTIF($AB$2:$AB30,$AB30)</f>
        <v>0-3-0-4</v>
      </c>
      <c r="X30" s="278" t="s">
        <v>355</v>
      </c>
      <c r="Y30" s="289">
        <f t="shared" ca="1" si="4"/>
        <v>0</v>
      </c>
      <c r="Z30" s="271">
        <v>3</v>
      </c>
      <c r="AA30" s="277">
        <f t="shared" ca="1" si="5"/>
        <v>0</v>
      </c>
      <c r="AB30" s="279" t="str">
        <f t="shared" ca="1" si="8"/>
        <v>0-3-0</v>
      </c>
    </row>
    <row r="31" spans="1:28" x14ac:dyDescent="0.25">
      <c r="A31" s="281" t="s">
        <v>83</v>
      </c>
      <c r="B31" s="281" t="s">
        <v>124</v>
      </c>
      <c r="C31" s="281" t="s">
        <v>356</v>
      </c>
      <c r="D31" s="281" t="s">
        <v>15</v>
      </c>
      <c r="E31" s="281">
        <v>3</v>
      </c>
      <c r="F31" s="222" t="str">
        <f t="shared" si="0"/>
        <v>ARCHITECTURE-13</v>
      </c>
      <c r="G31" s="222">
        <f t="shared" si="1"/>
        <v>3</v>
      </c>
      <c r="H31" s="284">
        <f t="shared" ca="1" si="2"/>
        <v>0</v>
      </c>
      <c r="I31" s="284">
        <f t="shared" ca="1" si="3"/>
        <v>0</v>
      </c>
      <c r="J31" s="287" t="s">
        <v>356</v>
      </c>
      <c r="K31" s="223" t="s">
        <v>74</v>
      </c>
      <c r="L31" s="223"/>
      <c r="M31" s="223"/>
      <c r="N31" s="223"/>
      <c r="O31" s="224">
        <f ca="1">MIN(O32:O35)</f>
        <v>0</v>
      </c>
      <c r="P31" s="225"/>
      <c r="Q31" s="217"/>
      <c r="R31" s="225"/>
      <c r="S31" s="225"/>
      <c r="T31" s="225"/>
      <c r="U31" s="225"/>
      <c r="V31" s="225"/>
      <c r="W31" s="278" t="str">
        <f ca="1">AB31&amp;"-"&amp;COUNTIF($AB$2:$AB31,$AB31)</f>
        <v>0-3-0-5</v>
      </c>
      <c r="X31" s="278" t="s">
        <v>356</v>
      </c>
      <c r="Y31" s="289">
        <f t="shared" ca="1" si="4"/>
        <v>0</v>
      </c>
      <c r="Z31" s="271">
        <v>3</v>
      </c>
      <c r="AA31" s="277">
        <f t="shared" ca="1" si="5"/>
        <v>0</v>
      </c>
      <c r="AB31" s="279" t="str">
        <f t="shared" ca="1" si="8"/>
        <v>0-3-0</v>
      </c>
    </row>
    <row r="32" spans="1:28" x14ac:dyDescent="0.25">
      <c r="A32" s="281" t="s">
        <v>83</v>
      </c>
      <c r="B32" s="281" t="s">
        <v>124</v>
      </c>
      <c r="C32" s="281" t="s">
        <v>357</v>
      </c>
      <c r="D32" s="281" t="s">
        <v>16</v>
      </c>
      <c r="E32" s="281">
        <v>3</v>
      </c>
      <c r="F32" s="222" t="str">
        <f t="shared" si="0"/>
        <v>ARCHITECTURE-13</v>
      </c>
      <c r="G32" s="222">
        <f t="shared" si="1"/>
        <v>3</v>
      </c>
      <c r="H32" s="284">
        <f t="shared" ca="1" si="2"/>
        <v>0</v>
      </c>
      <c r="I32" s="284">
        <f t="shared" ca="1" si="3"/>
        <v>0</v>
      </c>
      <c r="J32" s="287" t="s">
        <v>357</v>
      </c>
      <c r="K32" s="229" t="s">
        <v>96</v>
      </c>
      <c r="L32" s="37">
        <f t="shared" ref="L32:N34" ca="1" si="15">SUMIF($F:$F,CONCATENATE($K32,L$1),$I:$I) / VLOOKUP(CONCATENATE($K32,L$1),$F:$G,2,FALSE)</f>
        <v>0</v>
      </c>
      <c r="M32" s="37">
        <f t="shared" ca="1" si="15"/>
        <v>0</v>
      </c>
      <c r="N32" s="37">
        <f t="shared" ca="1" si="15"/>
        <v>0</v>
      </c>
      <c r="O32" s="230">
        <f ca="1">IF( AND($L32=1,$M32=1,$N32&gt;$O$56 ), 3,
    IF( AND($L32=1,$M32&gt;$O$56 ), 2,
      IF( $L32=1, 1, 0)
  )
) + N("MIL3 tarkistus 1. rivillä, MIL2 tarkistus 2. rivillä, ja lopuksi MIL1 tarkistus.")</f>
        <v>0</v>
      </c>
      <c r="P32" s="217"/>
      <c r="R32" s="217"/>
      <c r="S32" s="217"/>
      <c r="T32" s="217"/>
      <c r="U32" s="217"/>
      <c r="V32" s="217"/>
      <c r="W32" s="278" t="str">
        <f ca="1">AB32&amp;"-"&amp;COUNTIF($AB$2:$AB32,$AB32)</f>
        <v>0-3-0-6</v>
      </c>
      <c r="X32" s="278" t="s">
        <v>357</v>
      </c>
      <c r="Y32" s="289">
        <f t="shared" ca="1" si="4"/>
        <v>0</v>
      </c>
      <c r="Z32" s="271">
        <v>3</v>
      </c>
      <c r="AA32" s="277">
        <f t="shared" ca="1" si="5"/>
        <v>0</v>
      </c>
      <c r="AB32" s="279" t="str">
        <f t="shared" ca="1" si="8"/>
        <v>0-3-0</v>
      </c>
    </row>
    <row r="33" spans="1:28" x14ac:dyDescent="0.25">
      <c r="A33" s="281" t="s">
        <v>83</v>
      </c>
      <c r="B33" s="281" t="s">
        <v>127</v>
      </c>
      <c r="C33" s="281" t="s">
        <v>358</v>
      </c>
      <c r="D33" s="281" t="s">
        <v>20</v>
      </c>
      <c r="E33" s="281">
        <v>1</v>
      </c>
      <c r="F33" s="222" t="str">
        <f t="shared" si="0"/>
        <v>ARCHITECTURE-21</v>
      </c>
      <c r="G33" s="222">
        <f t="shared" si="1"/>
        <v>1</v>
      </c>
      <c r="H33" s="284">
        <f t="shared" ca="1" si="2"/>
        <v>0</v>
      </c>
      <c r="I33" s="284">
        <f t="shared" ca="1" si="3"/>
        <v>0</v>
      </c>
      <c r="J33" s="287" t="s">
        <v>358</v>
      </c>
      <c r="K33" s="229" t="s">
        <v>98</v>
      </c>
      <c r="L33" s="37">
        <f t="shared" ca="1" si="15"/>
        <v>0</v>
      </c>
      <c r="M33" s="37">
        <f t="shared" ca="1" si="15"/>
        <v>0</v>
      </c>
      <c r="N33" s="37">
        <f t="shared" ca="1" si="15"/>
        <v>0</v>
      </c>
      <c r="O33" s="230">
        <f ca="1">IF( AND($L33=1,$M33=1,$N33&gt;$O$56 ), 3,
    IF( AND($L33=1,$M33&gt;$O$56 ), 2,
      IF( $L33=1, 1, 0)
  )
) + N("MIL3 tarkistus 1. rivillä, MIL2 tarkistus 2. rivillä, ja lopuksi MIL1 tarkistus.")</f>
        <v>0</v>
      </c>
      <c r="P33" s="217"/>
      <c r="R33" s="217"/>
      <c r="S33" s="217"/>
      <c r="T33" s="217"/>
      <c r="U33" s="217"/>
      <c r="V33" s="217"/>
      <c r="W33" s="278" t="str">
        <f ca="1">AB33&amp;"-"&amp;COUNTIF($AB$2:$AB33,$AB33)</f>
        <v>0-1-0-8</v>
      </c>
      <c r="X33" s="278" t="s">
        <v>358</v>
      </c>
      <c r="Y33" s="289">
        <f t="shared" ca="1" si="4"/>
        <v>0</v>
      </c>
      <c r="Z33" s="271">
        <v>1</v>
      </c>
      <c r="AA33" s="277">
        <f t="shared" ca="1" si="5"/>
        <v>0</v>
      </c>
      <c r="AB33" s="279" t="str">
        <f t="shared" ca="1" si="8"/>
        <v>0-1-0</v>
      </c>
    </row>
    <row r="34" spans="1:28" x14ac:dyDescent="0.25">
      <c r="A34" s="281" t="s">
        <v>83</v>
      </c>
      <c r="B34" s="281" t="s">
        <v>127</v>
      </c>
      <c r="C34" s="281" t="s">
        <v>359</v>
      </c>
      <c r="D34" s="281" t="s">
        <v>21</v>
      </c>
      <c r="E34" s="281">
        <v>2</v>
      </c>
      <c r="F34" s="222" t="str">
        <f t="shared" si="0"/>
        <v>ARCHITECTURE-22</v>
      </c>
      <c r="G34" s="222">
        <f t="shared" si="1"/>
        <v>1</v>
      </c>
      <c r="H34" s="284">
        <f t="shared" ca="1" si="2"/>
        <v>0</v>
      </c>
      <c r="I34" s="284">
        <f t="shared" ca="1" si="3"/>
        <v>0</v>
      </c>
      <c r="J34" s="287" t="s">
        <v>359</v>
      </c>
      <c r="K34" s="229" t="s">
        <v>100</v>
      </c>
      <c r="L34" s="37">
        <f t="shared" ca="1" si="15"/>
        <v>0</v>
      </c>
      <c r="M34" s="37">
        <f t="shared" ca="1" si="15"/>
        <v>0</v>
      </c>
      <c r="N34" s="37">
        <f t="shared" ca="1" si="15"/>
        <v>0</v>
      </c>
      <c r="O34" s="230">
        <f ca="1">IF( AND($L34=1,$M34=1,$N34&gt;$O$56 ), 3,
    IF( AND($L34=1,$M34&gt;$O$56 ), 2,
      IF( $L34=1, 1, 0)
  )
) + N("MIL3 tarkistus 1. rivillä, MIL2 tarkistus 2. rivillä, ja lopuksi MIL1 tarkistus.")</f>
        <v>0</v>
      </c>
      <c r="P34" s="217"/>
      <c r="R34" s="217"/>
      <c r="S34" s="217"/>
      <c r="T34" s="217"/>
      <c r="U34" s="217"/>
      <c r="V34" s="217"/>
      <c r="W34" s="278" t="str">
        <f ca="1">AB34&amp;"-"&amp;COUNTIF($AB$2:$AB34,$AB34)</f>
        <v>0-2-0-12</v>
      </c>
      <c r="X34" s="278" t="s">
        <v>359</v>
      </c>
      <c r="Y34" s="289">
        <f t="shared" ref="Y34:Y65" ca="1" si="16">VLOOKUP(LEFT($X34,LEN($X34)-1),$K:$O,5,FALSE)</f>
        <v>0</v>
      </c>
      <c r="Z34" s="271">
        <v>2</v>
      </c>
      <c r="AA34" s="277">
        <f t="shared" ca="1" si="5"/>
        <v>0</v>
      </c>
      <c r="AB34" s="279" t="str">
        <f t="shared" ca="1" si="8"/>
        <v>0-2-0</v>
      </c>
    </row>
    <row r="35" spans="1:28" x14ac:dyDescent="0.25">
      <c r="A35" s="281" t="s">
        <v>83</v>
      </c>
      <c r="B35" s="281" t="s">
        <v>127</v>
      </c>
      <c r="C35" s="281" t="s">
        <v>360</v>
      </c>
      <c r="D35" s="281" t="s">
        <v>22</v>
      </c>
      <c r="E35" s="281">
        <v>3</v>
      </c>
      <c r="F35" s="222" t="str">
        <f t="shared" si="0"/>
        <v>ARCHITECTURE-23</v>
      </c>
      <c r="G35" s="222">
        <f t="shared" si="1"/>
        <v>1</v>
      </c>
      <c r="H35" s="284">
        <f t="shared" ca="1" si="2"/>
        <v>0</v>
      </c>
      <c r="I35" s="284">
        <f t="shared" ca="1" si="3"/>
        <v>0</v>
      </c>
      <c r="J35" s="287" t="s">
        <v>360</v>
      </c>
      <c r="K35" s="229" t="s">
        <v>102</v>
      </c>
      <c r="L35" s="233">
        <v>1</v>
      </c>
      <c r="M35" s="37">
        <f ca="1">SUMIF($F:$F,CONCATENATE($K35,M$1),$I:$I) / VLOOKUP(CONCATENATE($K35,M$1),$F:$G,2,FALSE)</f>
        <v>0</v>
      </c>
      <c r="N35" s="37">
        <f ca="1">SUMIF($F:$F,CONCATENATE($K35,N$1),$I:$I) / VLOOKUP(CONCATENATE($K35,N$1),$F:$G,2,FALSE)</f>
        <v>0</v>
      </c>
      <c r="O35" s="230">
        <f ca="1">IF( AND($L35=1,$M35=1,$N35&gt;$O$56 ), 3,
    IF( AND($L35=1,$M35&gt;$O$56 ), 2,
      IF( $L35=1, 1, 0)
  )
) + N("MIL3 tarkistus 1. rivillä, MIL2 tarkistus 2. rivillä, ja lopuksi MIL1 tarkistus.")</f>
        <v>1</v>
      </c>
      <c r="P35" s="217"/>
      <c r="R35" s="217"/>
      <c r="S35" s="217"/>
      <c r="T35" s="217"/>
      <c r="U35" s="217"/>
      <c r="V35" s="217"/>
      <c r="W35" s="278" t="str">
        <f ca="1">AB35&amp;"-"&amp;COUNTIF($AB$2:$AB35,$AB35)</f>
        <v>0-3-0-7</v>
      </c>
      <c r="X35" s="278" t="s">
        <v>360</v>
      </c>
      <c r="Y35" s="289">
        <f t="shared" ca="1" si="16"/>
        <v>0</v>
      </c>
      <c r="Z35" s="271">
        <v>3</v>
      </c>
      <c r="AA35" s="277">
        <f t="shared" ca="1" si="5"/>
        <v>0</v>
      </c>
      <c r="AB35" s="279" t="str">
        <f t="shared" ca="1" si="8"/>
        <v>0-3-0</v>
      </c>
    </row>
    <row r="36" spans="1:28" x14ac:dyDescent="0.25">
      <c r="A36" s="281" t="s">
        <v>83</v>
      </c>
      <c r="B36" s="281" t="s">
        <v>130</v>
      </c>
      <c r="C36" s="281" t="s">
        <v>361</v>
      </c>
      <c r="D36" s="281" t="s">
        <v>25</v>
      </c>
      <c r="E36" s="281">
        <v>2</v>
      </c>
      <c r="F36" s="222" t="str">
        <f t="shared" si="0"/>
        <v>ARCHITECTURE-32</v>
      </c>
      <c r="G36" s="222">
        <f t="shared" si="1"/>
        <v>2</v>
      </c>
      <c r="H36" s="284">
        <f t="shared" ca="1" si="2"/>
        <v>0</v>
      </c>
      <c r="I36" s="284">
        <f t="shared" ca="1" si="3"/>
        <v>0</v>
      </c>
      <c r="J36" s="287" t="s">
        <v>361</v>
      </c>
      <c r="K36" s="223" t="s">
        <v>0</v>
      </c>
      <c r="L36" s="223"/>
      <c r="M36" s="223"/>
      <c r="N36" s="223"/>
      <c r="O36" s="224">
        <f ca="1">MIN(O37:O39)</f>
        <v>0</v>
      </c>
      <c r="P36" s="225"/>
      <c r="R36" s="217"/>
      <c r="S36" s="217"/>
      <c r="T36" s="217"/>
      <c r="U36" s="217"/>
      <c r="V36" s="225"/>
      <c r="W36" s="278" t="str">
        <f ca="1">AB36&amp;"-"&amp;COUNTIF($AB$2:$AB36,$AB36)</f>
        <v>1-2-0-5</v>
      </c>
      <c r="X36" s="278" t="s">
        <v>361</v>
      </c>
      <c r="Y36" s="289">
        <f t="shared" ca="1" si="16"/>
        <v>1</v>
      </c>
      <c r="Z36" s="271">
        <v>2</v>
      </c>
      <c r="AA36" s="277">
        <f t="shared" ca="1" si="5"/>
        <v>0</v>
      </c>
      <c r="AB36" s="279" t="str">
        <f t="shared" ca="1" si="8"/>
        <v>1-2-0</v>
      </c>
    </row>
    <row r="37" spans="1:28" x14ac:dyDescent="0.25">
      <c r="A37" s="281" t="s">
        <v>83</v>
      </c>
      <c r="B37" s="281" t="s">
        <v>130</v>
      </c>
      <c r="C37" s="281" t="s">
        <v>362</v>
      </c>
      <c r="D37" s="281" t="s">
        <v>26</v>
      </c>
      <c r="E37" s="281">
        <v>2</v>
      </c>
      <c r="F37" s="222" t="str">
        <f t="shared" si="0"/>
        <v>ARCHITECTURE-32</v>
      </c>
      <c r="G37" s="222">
        <f t="shared" si="1"/>
        <v>2</v>
      </c>
      <c r="H37" s="284">
        <f t="shared" ca="1" si="2"/>
        <v>0</v>
      </c>
      <c r="I37" s="284">
        <f t="shared" ca="1" si="3"/>
        <v>0</v>
      </c>
      <c r="J37" s="287" t="s">
        <v>362</v>
      </c>
      <c r="K37" s="229" t="s">
        <v>43</v>
      </c>
      <c r="L37" s="37">
        <f ca="1">SUMIF($F:$F,CONCATENATE($K37,L$1),$I:$I) / VLOOKUP(CONCATENATE($K37,L$1),$F:$G,2,FALSE)</f>
        <v>0</v>
      </c>
      <c r="M37" s="37">
        <f ca="1">SUMIF($F:$F,CONCATENATE($K37,M$1),$I:$I) / VLOOKUP(CONCATENATE($K37,M$1),$F:$G,2,FALSE)</f>
        <v>0</v>
      </c>
      <c r="N37" s="37">
        <f ca="1">SUMIF($F:$F,CONCATENATE($K37,N$1),$I:$I) / VLOOKUP(CONCATENATE($K37,N$1),$F:$G,2,FALSE)</f>
        <v>0</v>
      </c>
      <c r="O37" s="230">
        <f ca="1">IF( AND($L37=1,$M37=1,$N37&gt;$O$56 ), 3,
    IF( AND($L37=1,$M37&gt;$O$56 ), 2,
      IF( $L37=1, 1, 0)
  )
) + N("MIL3 tarkistus 1. rivillä, MIL2 tarkistus 2. rivillä, ja lopuksi MIL1 tarkistus.")</f>
        <v>0</v>
      </c>
      <c r="P37" s="217"/>
      <c r="Q37" s="217"/>
      <c r="R37" s="232"/>
      <c r="S37" s="217"/>
      <c r="T37" s="217"/>
      <c r="U37" s="232"/>
      <c r="V37" s="217"/>
      <c r="W37" s="278" t="str">
        <f ca="1">AB37&amp;"-"&amp;COUNTIF($AB$2:$AB37,$AB37)</f>
        <v>1-2-0-6</v>
      </c>
      <c r="X37" s="278" t="s">
        <v>362</v>
      </c>
      <c r="Y37" s="289">
        <f t="shared" ca="1" si="16"/>
        <v>1</v>
      </c>
      <c r="Z37" s="271">
        <v>2</v>
      </c>
      <c r="AA37" s="277">
        <f t="shared" ca="1" si="5"/>
        <v>0</v>
      </c>
      <c r="AB37" s="279" t="str">
        <f t="shared" ca="1" si="8"/>
        <v>1-2-0</v>
      </c>
    </row>
    <row r="38" spans="1:28" x14ac:dyDescent="0.25">
      <c r="A38" s="281" t="s">
        <v>83</v>
      </c>
      <c r="B38" s="281" t="s">
        <v>130</v>
      </c>
      <c r="C38" s="281" t="s">
        <v>363</v>
      </c>
      <c r="D38" s="281" t="s">
        <v>27</v>
      </c>
      <c r="E38" s="281">
        <v>3</v>
      </c>
      <c r="F38" s="222" t="str">
        <f t="shared" si="0"/>
        <v>ARCHITECTURE-33</v>
      </c>
      <c r="G38" s="222">
        <f t="shared" si="1"/>
        <v>2</v>
      </c>
      <c r="H38" s="284">
        <f t="shared" ca="1" si="2"/>
        <v>0</v>
      </c>
      <c r="I38" s="284">
        <f t="shared" ca="1" si="3"/>
        <v>0</v>
      </c>
      <c r="J38" s="287" t="s">
        <v>363</v>
      </c>
      <c r="K38" s="229" t="s">
        <v>47</v>
      </c>
      <c r="L38" s="233">
        <v>1</v>
      </c>
      <c r="M38" s="37">
        <f ca="1">SUMIF($F:$F,CONCATENATE($K38,M$1),$I:$I) / VLOOKUP(CONCATENATE($K38,M$1),$F:$G,2,FALSE)</f>
        <v>0</v>
      </c>
      <c r="N38" s="37">
        <f ca="1">SUMIF($F:$F,CONCATENATE($K38,N$1),$I:$I) / VLOOKUP(CONCATENATE($K38,N$1),$F:$G,2,FALSE)</f>
        <v>0</v>
      </c>
      <c r="O38" s="230">
        <f ca="1">IF( AND($L38=1,$M38=1,$N38&gt;$O$56 ), 3,
    IF( AND($L38=1,$M38&gt;$O$56 ), 2,
      IF( $L38=1, 1, 0)
  )
) + N("MIL3 tarkistus 1. rivillä, MIL2 tarkistus 2. rivillä, ja lopuksi MIL1 tarkistus.")</f>
        <v>1</v>
      </c>
      <c r="P38" s="217"/>
      <c r="Q38" s="217"/>
      <c r="R38" s="232"/>
      <c r="S38" s="217"/>
      <c r="T38" s="217"/>
      <c r="U38" s="232"/>
      <c r="V38" s="217"/>
      <c r="W38" s="278" t="str">
        <f ca="1">AB38&amp;"-"&amp;COUNTIF($AB$2:$AB38,$AB38)</f>
        <v>1-3-0-4</v>
      </c>
      <c r="X38" s="278" t="s">
        <v>363</v>
      </c>
      <c r="Y38" s="289">
        <f t="shared" ca="1" si="16"/>
        <v>1</v>
      </c>
      <c r="Z38" s="271">
        <v>3</v>
      </c>
      <c r="AA38" s="277">
        <f t="shared" ca="1" si="5"/>
        <v>0</v>
      </c>
      <c r="AB38" s="279" t="str">
        <f t="shared" ca="1" si="8"/>
        <v>1-3-0</v>
      </c>
    </row>
    <row r="39" spans="1:28" x14ac:dyDescent="0.25">
      <c r="A39" s="281" t="s">
        <v>83</v>
      </c>
      <c r="B39" s="281" t="s">
        <v>130</v>
      </c>
      <c r="C39" s="281" t="s">
        <v>364</v>
      </c>
      <c r="D39" s="281" t="s">
        <v>28</v>
      </c>
      <c r="E39" s="281">
        <v>3</v>
      </c>
      <c r="F39" s="222" t="str">
        <f t="shared" si="0"/>
        <v>ARCHITECTURE-33</v>
      </c>
      <c r="G39" s="222">
        <f t="shared" si="1"/>
        <v>2</v>
      </c>
      <c r="H39" s="284">
        <f t="shared" ca="1" si="2"/>
        <v>0</v>
      </c>
      <c r="I39" s="284">
        <f t="shared" ca="1" si="3"/>
        <v>0</v>
      </c>
      <c r="J39" s="287" t="s">
        <v>364</v>
      </c>
      <c r="K39" s="229" t="s">
        <v>49</v>
      </c>
      <c r="L39" s="233">
        <v>1</v>
      </c>
      <c r="M39" s="37">
        <f ca="1">SUMIF($F:$F,CONCATENATE($K39,M$1),$I:$I) / VLOOKUP(CONCATENATE($K39,M$1),$F:$G,2,FALSE)</f>
        <v>0</v>
      </c>
      <c r="N39" s="37">
        <f ca="1">SUMIF($F:$F,CONCATENATE($K39,N$1),$I:$I) / VLOOKUP(CONCATENATE($K39,N$1),$F:$G,2,FALSE)</f>
        <v>0</v>
      </c>
      <c r="O39" s="230">
        <f ca="1">IF( AND($L39=1,$M39=1,$N39&gt;$O$56 ), 3,
    IF( AND($L39=1,$M39&gt;$O$56 ), 2,
      IF( $L39=1, 1, 0)
  )
) + N("MIL3 tarkistus 1. rivillä, MIL2 tarkistus 2. rivillä, ja lopuksi MIL1 tarkistus.")</f>
        <v>1</v>
      </c>
      <c r="P39" s="217"/>
      <c r="Q39" s="217"/>
      <c r="R39" s="232"/>
      <c r="S39" s="217"/>
      <c r="T39" s="217"/>
      <c r="U39" s="232"/>
      <c r="V39" s="217"/>
      <c r="W39" s="278" t="str">
        <f ca="1">AB39&amp;"-"&amp;COUNTIF($AB$2:$AB39,$AB39)</f>
        <v>1-3-0-5</v>
      </c>
      <c r="X39" s="278" t="s">
        <v>364</v>
      </c>
      <c r="Y39" s="289">
        <f t="shared" ca="1" si="16"/>
        <v>1</v>
      </c>
      <c r="Z39" s="271">
        <v>3</v>
      </c>
      <c r="AA39" s="277">
        <f t="shared" ca="1" si="5"/>
        <v>0</v>
      </c>
      <c r="AB39" s="279" t="str">
        <f t="shared" ca="1" si="8"/>
        <v>1-3-0</v>
      </c>
    </row>
    <row r="40" spans="1:28" x14ac:dyDescent="0.25">
      <c r="A40" s="281" t="s">
        <v>83</v>
      </c>
      <c r="B40" s="281" t="s">
        <v>133</v>
      </c>
      <c r="C40" s="281" t="s">
        <v>365</v>
      </c>
      <c r="D40" s="281" t="s">
        <v>126</v>
      </c>
      <c r="E40" s="281">
        <v>1</v>
      </c>
      <c r="F40" s="222" t="str">
        <f t="shared" si="0"/>
        <v>ARCHITECTURE-41</v>
      </c>
      <c r="G40" s="222">
        <f t="shared" si="1"/>
        <v>2</v>
      </c>
      <c r="H40" s="284">
        <f t="shared" ca="1" si="2"/>
        <v>0</v>
      </c>
      <c r="I40" s="284">
        <f t="shared" ca="1" si="3"/>
        <v>0</v>
      </c>
      <c r="J40" s="287" t="s">
        <v>365</v>
      </c>
      <c r="K40" s="223" t="s">
        <v>72</v>
      </c>
      <c r="L40" s="223"/>
      <c r="M40" s="223"/>
      <c r="N40" s="223"/>
      <c r="O40" s="224">
        <f ca="1">MIN(O41:O44)</f>
        <v>0</v>
      </c>
      <c r="P40" s="225"/>
      <c r="Q40" s="217"/>
      <c r="R40" s="232"/>
      <c r="S40" s="217"/>
      <c r="T40" s="217"/>
      <c r="U40" s="232"/>
      <c r="V40" s="225"/>
      <c r="W40" s="278" t="str">
        <f ca="1">AB40&amp;"-"&amp;COUNTIF($AB$2:$AB40,$AB40)</f>
        <v>0-1-0-9</v>
      </c>
      <c r="X40" s="278" t="s">
        <v>365</v>
      </c>
      <c r="Y40" s="289">
        <f t="shared" ca="1" si="16"/>
        <v>0</v>
      </c>
      <c r="Z40" s="271">
        <v>1</v>
      </c>
      <c r="AA40" s="277">
        <f t="shared" ca="1" si="5"/>
        <v>0</v>
      </c>
      <c r="AB40" s="279" t="str">
        <f t="shared" ca="1" si="8"/>
        <v>0-1-0</v>
      </c>
    </row>
    <row r="41" spans="1:28" x14ac:dyDescent="0.25">
      <c r="A41" s="281" t="s">
        <v>83</v>
      </c>
      <c r="B41" s="281" t="s">
        <v>133</v>
      </c>
      <c r="C41" s="281" t="s">
        <v>366</v>
      </c>
      <c r="D41" s="281" t="s">
        <v>129</v>
      </c>
      <c r="E41" s="281">
        <v>1</v>
      </c>
      <c r="F41" s="222" t="str">
        <f t="shared" si="0"/>
        <v>ARCHITECTURE-41</v>
      </c>
      <c r="G41" s="222">
        <f t="shared" si="1"/>
        <v>2</v>
      </c>
      <c r="H41" s="284">
        <f t="shared" ca="1" si="2"/>
        <v>0</v>
      </c>
      <c r="I41" s="284">
        <f t="shared" ca="1" si="3"/>
        <v>0</v>
      </c>
      <c r="J41" s="287" t="s">
        <v>366</v>
      </c>
      <c r="K41" s="229" t="s">
        <v>87</v>
      </c>
      <c r="L41" s="37">
        <f t="shared" ref="L41:N42" ca="1" si="17">SUMIF($F:$F,CONCATENATE($K41,L$1),$I:$I) / VLOOKUP(CONCATENATE($K41,L$1),$F:$G,2,FALSE)</f>
        <v>0</v>
      </c>
      <c r="M41" s="37">
        <f t="shared" ca="1" si="17"/>
        <v>0</v>
      </c>
      <c r="N41" s="37">
        <f t="shared" ca="1" si="17"/>
        <v>0</v>
      </c>
      <c r="O41" s="230">
        <f ca="1">IF( AND($L41=1,$M41=1,$N41&gt;$O$56 ), 3,
    IF( AND($L41=1,$M41&gt;$O$56 ), 2,
      IF( $L41=1, 1, 0)
  )
) + N("MIL3 tarkistus 1. rivillä, MIL2 tarkistus 2. rivillä, ja lopuksi MIL1 tarkistus.")</f>
        <v>0</v>
      </c>
      <c r="P41" s="217"/>
      <c r="Q41" s="217"/>
      <c r="R41" s="232"/>
      <c r="S41" s="217"/>
      <c r="T41" s="217"/>
      <c r="U41" s="232"/>
      <c r="V41" s="217"/>
      <c r="W41" s="278" t="str">
        <f ca="1">AB41&amp;"-"&amp;COUNTIF($AB$2:$AB41,$AB41)</f>
        <v>0-1-0-10</v>
      </c>
      <c r="X41" s="278" t="s">
        <v>366</v>
      </c>
      <c r="Y41" s="289">
        <f t="shared" ca="1" si="16"/>
        <v>0</v>
      </c>
      <c r="Z41" s="271">
        <v>1</v>
      </c>
      <c r="AA41" s="277">
        <f t="shared" ca="1" si="5"/>
        <v>0</v>
      </c>
      <c r="AB41" s="279" t="str">
        <f t="shared" ca="1" si="8"/>
        <v>0-1-0</v>
      </c>
    </row>
    <row r="42" spans="1:28" x14ac:dyDescent="0.25">
      <c r="A42" s="281" t="s">
        <v>83</v>
      </c>
      <c r="B42" s="281" t="s">
        <v>133</v>
      </c>
      <c r="C42" s="281" t="s">
        <v>367</v>
      </c>
      <c r="D42" s="281" t="s">
        <v>132</v>
      </c>
      <c r="E42" s="281">
        <v>2</v>
      </c>
      <c r="F42" s="222" t="str">
        <f t="shared" si="0"/>
        <v>ARCHITECTURE-42</v>
      </c>
      <c r="G42" s="222">
        <f t="shared" si="1"/>
        <v>3</v>
      </c>
      <c r="H42" s="284">
        <f t="shared" ca="1" si="2"/>
        <v>0</v>
      </c>
      <c r="I42" s="284">
        <f t="shared" ca="1" si="3"/>
        <v>0</v>
      </c>
      <c r="J42" s="287" t="s">
        <v>367</v>
      </c>
      <c r="K42" s="229" t="s">
        <v>89</v>
      </c>
      <c r="L42" s="37">
        <f t="shared" ca="1" si="17"/>
        <v>0</v>
      </c>
      <c r="M42" s="37">
        <f t="shared" ca="1" si="17"/>
        <v>0</v>
      </c>
      <c r="N42" s="37">
        <f t="shared" ca="1" si="17"/>
        <v>0</v>
      </c>
      <c r="O42" s="230">
        <f ca="1">IF( AND($L42=1,$M42=1,$N42&gt;$O$56 ), 3,
    IF( AND($L42=1,$M42&gt;$O$56 ), 2,
      IF( $L42=1, 1, 0)
  )
) + N("MIL3 tarkistus 1. rivillä, MIL2 tarkistus 2. rivillä, ja lopuksi MIL1 tarkistus.")</f>
        <v>0</v>
      </c>
      <c r="P42" s="217"/>
      <c r="Q42" s="217"/>
      <c r="R42" s="232"/>
      <c r="S42" s="217"/>
      <c r="T42" s="217"/>
      <c r="U42" s="232"/>
      <c r="V42" s="217"/>
      <c r="W42" s="278" t="str">
        <f ca="1">AB42&amp;"-"&amp;COUNTIF($AB$2:$AB42,$AB42)</f>
        <v>0-2-0-13</v>
      </c>
      <c r="X42" s="278" t="s">
        <v>367</v>
      </c>
      <c r="Y42" s="289">
        <f t="shared" ca="1" si="16"/>
        <v>0</v>
      </c>
      <c r="Z42" s="271">
        <v>2</v>
      </c>
      <c r="AA42" s="277">
        <f t="shared" ca="1" si="5"/>
        <v>0</v>
      </c>
      <c r="AB42" s="279" t="str">
        <f t="shared" ca="1" si="8"/>
        <v>0-2-0</v>
      </c>
    </row>
    <row r="43" spans="1:28" x14ac:dyDescent="0.25">
      <c r="A43" s="281" t="s">
        <v>83</v>
      </c>
      <c r="B43" s="281" t="s">
        <v>133</v>
      </c>
      <c r="C43" s="281" t="s">
        <v>368</v>
      </c>
      <c r="D43" s="281" t="s">
        <v>135</v>
      </c>
      <c r="E43" s="281">
        <v>2</v>
      </c>
      <c r="F43" s="222" t="str">
        <f t="shared" si="0"/>
        <v>ARCHITECTURE-42</v>
      </c>
      <c r="G43" s="222">
        <f t="shared" si="1"/>
        <v>3</v>
      </c>
      <c r="H43" s="284">
        <f t="shared" ca="1" si="2"/>
        <v>0</v>
      </c>
      <c r="I43" s="284">
        <f t="shared" ca="1" si="3"/>
        <v>0</v>
      </c>
      <c r="J43" s="287" t="s">
        <v>368</v>
      </c>
      <c r="K43" s="229" t="s">
        <v>91</v>
      </c>
      <c r="L43" s="233">
        <v>1</v>
      </c>
      <c r="M43" s="37">
        <f ca="1">SUMIF($F:$F,CONCATENATE($K43,M$1),$I:$I) / VLOOKUP(CONCATENATE($K43,M$1),$F:$G,2,FALSE)</f>
        <v>0</v>
      </c>
      <c r="N43" s="37">
        <f ca="1">SUMIF($F:$F,CONCATENATE($K43,N$1),$I:$I) / VLOOKUP(CONCATENATE($K43,N$1),$F:$G,2,FALSE)</f>
        <v>0</v>
      </c>
      <c r="O43" s="230">
        <f ca="1">IF( AND($L43=1,$M43=1,$N43&gt;$O$56 ), 3,
    IF( AND($L43=1,$M43&gt;$O$56 ), 2,
      IF( $L43=1, 1, 0)
  )
) + N("MIL3 tarkistus 1. rivillä, MIL2 tarkistus 2. rivillä, ja lopuksi MIL1 tarkistus.")</f>
        <v>1</v>
      </c>
      <c r="P43" s="217"/>
      <c r="Q43" s="217"/>
      <c r="R43" s="232"/>
      <c r="S43" s="217"/>
      <c r="T43" s="217"/>
      <c r="U43" s="232"/>
      <c r="V43" s="217"/>
      <c r="W43" s="278" t="str">
        <f ca="1">AB43&amp;"-"&amp;COUNTIF($AB$2:$AB43,$AB43)</f>
        <v>0-2-0-14</v>
      </c>
      <c r="X43" s="278" t="s">
        <v>368</v>
      </c>
      <c r="Y43" s="289">
        <f t="shared" ca="1" si="16"/>
        <v>0</v>
      </c>
      <c r="Z43" s="271">
        <v>2</v>
      </c>
      <c r="AA43" s="277">
        <f t="shared" ca="1" si="5"/>
        <v>0</v>
      </c>
      <c r="AB43" s="279" t="str">
        <f t="shared" ca="1" si="8"/>
        <v>0-2-0</v>
      </c>
    </row>
    <row r="44" spans="1:28" x14ac:dyDescent="0.25">
      <c r="A44" s="281" t="s">
        <v>83</v>
      </c>
      <c r="B44" s="281" t="s">
        <v>133</v>
      </c>
      <c r="C44" s="281" t="s">
        <v>369</v>
      </c>
      <c r="D44" s="281" t="s">
        <v>138</v>
      </c>
      <c r="E44" s="281">
        <v>2</v>
      </c>
      <c r="F44" s="222" t="str">
        <f t="shared" si="0"/>
        <v>ARCHITECTURE-42</v>
      </c>
      <c r="G44" s="222">
        <f t="shared" si="1"/>
        <v>3</v>
      </c>
      <c r="H44" s="284">
        <f t="shared" ca="1" si="2"/>
        <v>0</v>
      </c>
      <c r="I44" s="284">
        <f t="shared" ca="1" si="3"/>
        <v>0</v>
      </c>
      <c r="J44" s="287" t="s">
        <v>369</v>
      </c>
      <c r="K44" s="229" t="s">
        <v>93</v>
      </c>
      <c r="L44" s="233">
        <v>1</v>
      </c>
      <c r="M44" s="37">
        <f ca="1">SUMIF($F:$F,CONCATENATE($K44,M$1),$I:$I) / VLOOKUP(CONCATENATE($K44,M$1),$F:$G,2,FALSE)</f>
        <v>0</v>
      </c>
      <c r="N44" s="37">
        <f ca="1">SUMIF($F:$F,CONCATENATE($K44,N$1),$I:$I) / VLOOKUP(CONCATENATE($K44,N$1),$F:$G,2,FALSE)</f>
        <v>0</v>
      </c>
      <c r="O44" s="230">
        <f ca="1">IF( AND($L44=1,$M44=1,$N44&gt;$O$56 ), 3,
    IF( AND($L44=1,$M44&gt;$O$56 ), 2,
      IF( $L44=1, 1, 0)
  )
) + N("MIL3 tarkistus 1. rivillä, MIL2 tarkistus 2. rivillä, ja lopuksi MIL1 tarkistus.")</f>
        <v>1</v>
      </c>
      <c r="P44" s="217"/>
      <c r="Q44" s="217"/>
      <c r="R44" s="232"/>
      <c r="S44" s="217"/>
      <c r="T44" s="217"/>
      <c r="U44" s="232"/>
      <c r="V44" s="217"/>
      <c r="W44" s="278" t="str">
        <f ca="1">AB44&amp;"-"&amp;COUNTIF($AB$2:$AB44,$AB44)</f>
        <v>0-2-0-15</v>
      </c>
      <c r="X44" s="278" t="s">
        <v>369</v>
      </c>
      <c r="Y44" s="289">
        <f t="shared" ca="1" si="16"/>
        <v>0</v>
      </c>
      <c r="Z44" s="271">
        <v>2</v>
      </c>
      <c r="AA44" s="277">
        <f t="shared" ca="1" si="5"/>
        <v>0</v>
      </c>
      <c r="AB44" s="279" t="str">
        <f t="shared" ca="1" si="8"/>
        <v>0-2-0</v>
      </c>
    </row>
    <row r="45" spans="1:28" x14ac:dyDescent="0.25">
      <c r="A45" s="281" t="s">
        <v>83</v>
      </c>
      <c r="B45" s="281" t="s">
        <v>133</v>
      </c>
      <c r="C45" s="281" t="s">
        <v>370</v>
      </c>
      <c r="D45" s="281" t="s">
        <v>140</v>
      </c>
      <c r="E45" s="281">
        <v>3</v>
      </c>
      <c r="F45" s="222" t="str">
        <f t="shared" si="0"/>
        <v>ARCHITECTURE-43</v>
      </c>
      <c r="G45" s="222">
        <f t="shared" si="1"/>
        <v>4</v>
      </c>
      <c r="H45" s="284">
        <f t="shared" ca="1" si="2"/>
        <v>0</v>
      </c>
      <c r="I45" s="284">
        <f t="shared" ca="1" si="3"/>
        <v>0</v>
      </c>
      <c r="J45" s="287" t="s">
        <v>370</v>
      </c>
      <c r="K45" s="223" t="s">
        <v>69</v>
      </c>
      <c r="L45" s="223"/>
      <c r="M45" s="223"/>
      <c r="N45" s="223"/>
      <c r="O45" s="224">
        <f ca="1">MIN(O46:O48)</f>
        <v>0</v>
      </c>
      <c r="P45" s="225"/>
      <c r="Q45" s="217"/>
      <c r="R45" s="232"/>
      <c r="S45" s="217"/>
      <c r="T45" s="217"/>
      <c r="U45" s="232"/>
      <c r="V45" s="225"/>
      <c r="W45" s="278" t="str">
        <f ca="1">AB45&amp;"-"&amp;COUNTIF($AB$2:$AB45,$AB45)</f>
        <v>0-3-0-8</v>
      </c>
      <c r="X45" s="278" t="s">
        <v>370</v>
      </c>
      <c r="Y45" s="289">
        <f t="shared" ca="1" si="16"/>
        <v>0</v>
      </c>
      <c r="Z45" s="271">
        <v>3</v>
      </c>
      <c r="AA45" s="277">
        <f t="shared" ca="1" si="5"/>
        <v>0</v>
      </c>
      <c r="AB45" s="279" t="str">
        <f t="shared" ca="1" si="8"/>
        <v>0-3-0</v>
      </c>
    </row>
    <row r="46" spans="1:28" x14ac:dyDescent="0.25">
      <c r="A46" s="281" t="s">
        <v>83</v>
      </c>
      <c r="B46" s="281" t="s">
        <v>133</v>
      </c>
      <c r="C46" s="281" t="s">
        <v>371</v>
      </c>
      <c r="D46" s="281" t="s">
        <v>255</v>
      </c>
      <c r="E46" s="281">
        <v>3</v>
      </c>
      <c r="F46" s="222" t="str">
        <f t="shared" si="0"/>
        <v>ARCHITECTURE-43</v>
      </c>
      <c r="G46" s="222">
        <f t="shared" si="1"/>
        <v>4</v>
      </c>
      <c r="H46" s="284">
        <f t="shared" ca="1" si="2"/>
        <v>0</v>
      </c>
      <c r="I46" s="284">
        <f t="shared" ca="1" si="3"/>
        <v>0</v>
      </c>
      <c r="J46" s="287" t="s">
        <v>371</v>
      </c>
      <c r="K46" s="229" t="s">
        <v>76</v>
      </c>
      <c r="L46" s="37">
        <f t="shared" ref="L46:N47" ca="1" si="18">SUMIF($F:$F,CONCATENATE($K46,L$1),$I:$I) / VLOOKUP(CONCATENATE($K46,L$1),$F:$G,2,FALSE)</f>
        <v>0</v>
      </c>
      <c r="M46" s="37">
        <f t="shared" ca="1" si="18"/>
        <v>0</v>
      </c>
      <c r="N46" s="37">
        <f t="shared" ca="1" si="18"/>
        <v>0</v>
      </c>
      <c r="O46" s="230">
        <f ca="1">IF( AND($L46=1,$M46=1,$N46&gt;$O$56 ), 3,
    IF( AND($L46=1,$M46&gt;$O$56 ), 2,
      IF( $L46=1, 1, 0)
  )
) + N("MIL3 tarkistus 1. rivillä, MIL2 tarkistus 2. rivillä, ja lopuksi MIL1 tarkistus.")</f>
        <v>0</v>
      </c>
      <c r="P46" s="217"/>
      <c r="Q46" s="217"/>
      <c r="R46" s="232"/>
      <c r="S46" s="217"/>
      <c r="T46" s="217"/>
      <c r="U46" s="232"/>
      <c r="V46" s="217"/>
      <c r="W46" s="278" t="str">
        <f ca="1">AB46&amp;"-"&amp;COUNTIF($AB$2:$AB46,$AB46)</f>
        <v>0-3-0-9</v>
      </c>
      <c r="X46" s="278" t="s">
        <v>371</v>
      </c>
      <c r="Y46" s="289">
        <f t="shared" ca="1" si="16"/>
        <v>0</v>
      </c>
      <c r="Z46" s="271">
        <v>3</v>
      </c>
      <c r="AA46" s="277">
        <f t="shared" ca="1" si="5"/>
        <v>0</v>
      </c>
      <c r="AB46" s="279" t="str">
        <f t="shared" ca="1" si="8"/>
        <v>0-3-0</v>
      </c>
    </row>
    <row r="47" spans="1:28" x14ac:dyDescent="0.25">
      <c r="A47" s="281" t="s">
        <v>83</v>
      </c>
      <c r="B47" s="281" t="s">
        <v>133</v>
      </c>
      <c r="C47" s="281" t="s">
        <v>372</v>
      </c>
      <c r="D47" s="281" t="s">
        <v>373</v>
      </c>
      <c r="E47" s="281">
        <v>3</v>
      </c>
      <c r="F47" s="222" t="str">
        <f t="shared" si="0"/>
        <v>ARCHITECTURE-43</v>
      </c>
      <c r="G47" s="222">
        <f t="shared" si="1"/>
        <v>4</v>
      </c>
      <c r="H47" s="284">
        <f t="shared" ca="1" si="2"/>
        <v>0</v>
      </c>
      <c r="I47" s="284">
        <f t="shared" ca="1" si="3"/>
        <v>0</v>
      </c>
      <c r="J47" s="287" t="s">
        <v>372</v>
      </c>
      <c r="K47" s="229" t="s">
        <v>79</v>
      </c>
      <c r="L47" s="37">
        <f t="shared" ca="1" si="18"/>
        <v>0</v>
      </c>
      <c r="M47" s="37">
        <f t="shared" ca="1" si="18"/>
        <v>0</v>
      </c>
      <c r="N47" s="37">
        <f t="shared" ca="1" si="18"/>
        <v>0</v>
      </c>
      <c r="O47" s="230">
        <f ca="1">IF( AND($L47=1,$M47=1,$N47&gt;$O$56 ), 3,
    IF( AND($L47=1,$M47&gt;$O$56 ), 2,
      IF( $L47=1, 1, 0)
  )
) + N("MIL3 tarkistus 1. rivillä, MIL2 tarkistus 2. rivillä, ja lopuksi MIL1 tarkistus.")</f>
        <v>0</v>
      </c>
      <c r="P47" s="217"/>
      <c r="Q47" s="217"/>
      <c r="R47" s="232"/>
      <c r="S47" s="217"/>
      <c r="T47" s="217"/>
      <c r="U47" s="232"/>
      <c r="V47" s="217"/>
      <c r="W47" s="278" t="str">
        <f ca="1">AB47&amp;"-"&amp;COUNTIF($AB$2:$AB47,$AB47)</f>
        <v>0-3-0-10</v>
      </c>
      <c r="X47" s="278" t="s">
        <v>372</v>
      </c>
      <c r="Y47" s="289">
        <f t="shared" ca="1" si="16"/>
        <v>0</v>
      </c>
      <c r="Z47" s="271">
        <v>3</v>
      </c>
      <c r="AA47" s="277">
        <f t="shared" ca="1" si="5"/>
        <v>0</v>
      </c>
      <c r="AB47" s="279" t="str">
        <f t="shared" ca="1" si="8"/>
        <v>0-3-0</v>
      </c>
    </row>
    <row r="48" spans="1:28" x14ac:dyDescent="0.25">
      <c r="A48" s="281" t="s">
        <v>83</v>
      </c>
      <c r="B48" s="281" t="s">
        <v>133</v>
      </c>
      <c r="C48" s="281" t="s">
        <v>374</v>
      </c>
      <c r="D48" s="281" t="s">
        <v>375</v>
      </c>
      <c r="E48" s="281">
        <v>3</v>
      </c>
      <c r="F48" s="222" t="str">
        <f t="shared" si="0"/>
        <v>ARCHITECTURE-43</v>
      </c>
      <c r="G48" s="222">
        <f t="shared" si="1"/>
        <v>4</v>
      </c>
      <c r="H48" s="284">
        <f t="shared" ca="1" si="2"/>
        <v>0</v>
      </c>
      <c r="I48" s="284">
        <f t="shared" ca="1" si="3"/>
        <v>0</v>
      </c>
      <c r="J48" s="287" t="s">
        <v>374</v>
      </c>
      <c r="K48" s="229" t="s">
        <v>82</v>
      </c>
      <c r="L48" s="233">
        <v>1</v>
      </c>
      <c r="M48" s="37">
        <f ca="1">SUMIF($F:$F,CONCATENATE($K48,M$1),$I:$I) / VLOOKUP(CONCATENATE($K48,M$1),$F:$G,2,FALSE)</f>
        <v>0</v>
      </c>
      <c r="N48" s="37">
        <f ca="1">SUMIF($F:$F,CONCATENATE($K48,N$1),$I:$I) / VLOOKUP(CONCATENATE($K48,N$1),$F:$G,2,FALSE)</f>
        <v>0</v>
      </c>
      <c r="O48" s="230">
        <f ca="1">IF( AND($L48=1,$M48=1,$N48&gt;$O$56 ), 3,
    IF( AND($L48=1,$M48&gt;$O$56 ), 2,
      IF( $L48=1, 1, 0)
  )
) + N("MIL3 tarkistus 1. rivillä, MIL2 tarkistus 2. rivillä, ja lopuksi MIL1 tarkistus.")</f>
        <v>1</v>
      </c>
      <c r="P48" s="217"/>
      <c r="Q48" s="217"/>
      <c r="R48" s="217"/>
      <c r="S48" s="217"/>
      <c r="T48" s="217"/>
      <c r="U48" s="232"/>
      <c r="V48" s="217"/>
      <c r="W48" s="278" t="str">
        <f ca="1">AB48&amp;"-"&amp;COUNTIF($AB$2:$AB48,$AB48)</f>
        <v>0-3-0-11</v>
      </c>
      <c r="X48" s="278" t="s">
        <v>374</v>
      </c>
      <c r="Y48" s="289">
        <f t="shared" ca="1" si="16"/>
        <v>0</v>
      </c>
      <c r="Z48" s="271">
        <v>3</v>
      </c>
      <c r="AA48" s="277">
        <f t="shared" ca="1" si="5"/>
        <v>0</v>
      </c>
      <c r="AB48" s="279" t="str">
        <f t="shared" ca="1" si="8"/>
        <v>0-3-0</v>
      </c>
    </row>
    <row r="49" spans="1:28" x14ac:dyDescent="0.25">
      <c r="A49" s="281" t="s">
        <v>83</v>
      </c>
      <c r="B49" s="281" t="s">
        <v>136</v>
      </c>
      <c r="C49" s="281" t="s">
        <v>376</v>
      </c>
      <c r="D49" s="281" t="s">
        <v>143</v>
      </c>
      <c r="E49" s="281">
        <v>2</v>
      </c>
      <c r="F49" s="222" t="str">
        <f t="shared" si="0"/>
        <v>ARCHITECTURE-52</v>
      </c>
      <c r="G49" s="222">
        <f t="shared" si="1"/>
        <v>4</v>
      </c>
      <c r="H49" s="284">
        <f t="shared" ca="1" si="2"/>
        <v>0</v>
      </c>
      <c r="I49" s="284">
        <f t="shared" ca="1" si="3"/>
        <v>0</v>
      </c>
      <c r="J49" s="287" t="s">
        <v>376</v>
      </c>
      <c r="K49" s="223" t="s">
        <v>80</v>
      </c>
      <c r="L49" s="223"/>
      <c r="M49" s="223"/>
      <c r="N49" s="223"/>
      <c r="O49" s="224">
        <f ca="1">MIN(O50:O54)</f>
        <v>0</v>
      </c>
      <c r="P49" s="225"/>
      <c r="Q49" s="217"/>
      <c r="R49" s="217"/>
      <c r="S49" s="217"/>
      <c r="T49" s="217"/>
      <c r="U49" s="217"/>
      <c r="V49" s="225"/>
      <c r="W49" s="278" t="str">
        <f ca="1">AB49&amp;"-"&amp;COUNTIF($AB$2:$AB49,$AB49)</f>
        <v>1-2-0-7</v>
      </c>
      <c r="X49" s="278" t="s">
        <v>376</v>
      </c>
      <c r="Y49" s="289">
        <f t="shared" ca="1" si="16"/>
        <v>1</v>
      </c>
      <c r="Z49" s="271">
        <v>2</v>
      </c>
      <c r="AA49" s="277">
        <f t="shared" ca="1" si="5"/>
        <v>0</v>
      </c>
      <c r="AB49" s="279" t="str">
        <f t="shared" ca="1" si="8"/>
        <v>1-2-0</v>
      </c>
    </row>
    <row r="50" spans="1:28" x14ac:dyDescent="0.25">
      <c r="A50" s="281" t="s">
        <v>83</v>
      </c>
      <c r="B50" s="281" t="s">
        <v>136</v>
      </c>
      <c r="C50" s="281" t="s">
        <v>377</v>
      </c>
      <c r="D50" s="281" t="s">
        <v>146</v>
      </c>
      <c r="E50" s="281">
        <v>2</v>
      </c>
      <c r="F50" s="222" t="str">
        <f t="shared" si="0"/>
        <v>ARCHITECTURE-52</v>
      </c>
      <c r="G50" s="222">
        <f t="shared" si="1"/>
        <v>4</v>
      </c>
      <c r="H50" s="284">
        <f t="shared" ca="1" si="2"/>
        <v>0</v>
      </c>
      <c r="I50" s="284">
        <f t="shared" ca="1" si="3"/>
        <v>0</v>
      </c>
      <c r="J50" s="287" t="s">
        <v>377</v>
      </c>
      <c r="K50" s="229" t="s">
        <v>113</v>
      </c>
      <c r="L50" s="37">
        <f t="shared" ref="L50:N53" ca="1" si="19">SUMIF($F:$F,CONCATENATE($K50,L$1),$I:$I) / VLOOKUP(CONCATENATE($K50,L$1),$F:$G,2,FALSE)</f>
        <v>0</v>
      </c>
      <c r="M50" s="37">
        <f t="shared" ca="1" si="19"/>
        <v>0</v>
      </c>
      <c r="N50" s="37">
        <f t="shared" ca="1" si="19"/>
        <v>0</v>
      </c>
      <c r="O50" s="230">
        <f ca="1">IF( AND($L50=1,$M50=1,$N50&gt;$O$56 ), 3,
    IF( AND($L50=1,$M50&gt;$O$56 ), 2,
      IF( $L50=1, 1, 0)
  )
) + N("MIL3 tarkistus 1. rivillä, MIL2 tarkistus 2. rivillä, ja lopuksi MIL1 tarkistus.")</f>
        <v>0</v>
      </c>
      <c r="P50" s="217"/>
      <c r="Q50" s="217"/>
      <c r="R50" s="217"/>
      <c r="S50" s="217"/>
      <c r="T50" s="217"/>
      <c r="U50" s="217"/>
      <c r="V50" s="217"/>
      <c r="W50" s="278" t="str">
        <f ca="1">AB50&amp;"-"&amp;COUNTIF($AB$2:$AB50,$AB50)</f>
        <v>1-2-0-8</v>
      </c>
      <c r="X50" s="278" t="s">
        <v>377</v>
      </c>
      <c r="Y50" s="289">
        <f t="shared" ca="1" si="16"/>
        <v>1</v>
      </c>
      <c r="Z50" s="271">
        <v>2</v>
      </c>
      <c r="AA50" s="277">
        <f t="shared" ca="1" si="5"/>
        <v>0</v>
      </c>
      <c r="AB50" s="279" t="str">
        <f t="shared" ca="1" si="8"/>
        <v>1-2-0</v>
      </c>
    </row>
    <row r="51" spans="1:28" x14ac:dyDescent="0.25">
      <c r="A51" s="281" t="s">
        <v>83</v>
      </c>
      <c r="B51" s="281" t="s">
        <v>136</v>
      </c>
      <c r="C51" s="281" t="s">
        <v>378</v>
      </c>
      <c r="D51" s="281" t="s">
        <v>149</v>
      </c>
      <c r="E51" s="281">
        <v>2</v>
      </c>
      <c r="F51" s="222" t="str">
        <f t="shared" si="0"/>
        <v>ARCHITECTURE-52</v>
      </c>
      <c r="G51" s="222">
        <f t="shared" si="1"/>
        <v>4</v>
      </c>
      <c r="H51" s="284">
        <f t="shared" ca="1" si="2"/>
        <v>0</v>
      </c>
      <c r="I51" s="284">
        <f t="shared" ca="1" si="3"/>
        <v>0</v>
      </c>
      <c r="J51" s="287" t="s">
        <v>378</v>
      </c>
      <c r="K51" s="229" t="s">
        <v>115</v>
      </c>
      <c r="L51" s="37">
        <f t="shared" ca="1" si="19"/>
        <v>0</v>
      </c>
      <c r="M51" s="37">
        <f t="shared" ca="1" si="19"/>
        <v>0</v>
      </c>
      <c r="N51" s="37">
        <f t="shared" ca="1" si="19"/>
        <v>0</v>
      </c>
      <c r="O51" s="230">
        <f ca="1">IF( AND($L51=1,$M51=1,$N51&gt;$O$56 ), 3,
    IF( AND($L51=1,$M51&gt;$O$56 ), 2,
      IF( $L51=1, 1, 0)
  )
) + N("MIL3 tarkistus 1. rivillä, MIL2 tarkistus 2. rivillä, ja lopuksi MIL1 tarkistus.")</f>
        <v>0</v>
      </c>
      <c r="P51" s="217"/>
      <c r="Q51" s="217"/>
      <c r="R51" s="217"/>
      <c r="S51" s="217"/>
      <c r="T51" s="217"/>
      <c r="U51" s="217"/>
      <c r="V51" s="217"/>
      <c r="W51" s="278" t="str">
        <f ca="1">AB51&amp;"-"&amp;COUNTIF($AB$2:$AB51,$AB51)</f>
        <v>1-2-0-9</v>
      </c>
      <c r="X51" s="278" t="s">
        <v>378</v>
      </c>
      <c r="Y51" s="289">
        <f t="shared" ca="1" si="16"/>
        <v>1</v>
      </c>
      <c r="Z51" s="271">
        <v>2</v>
      </c>
      <c r="AA51" s="277">
        <f t="shared" ca="1" si="5"/>
        <v>0</v>
      </c>
      <c r="AB51" s="279" t="str">
        <f t="shared" ca="1" si="8"/>
        <v>1-2-0</v>
      </c>
    </row>
    <row r="52" spans="1:28" x14ac:dyDescent="0.25">
      <c r="A52" s="281" t="s">
        <v>83</v>
      </c>
      <c r="B52" s="281" t="s">
        <v>136</v>
      </c>
      <c r="C52" s="281" t="s">
        <v>379</v>
      </c>
      <c r="D52" s="281" t="s">
        <v>152</v>
      </c>
      <c r="E52" s="281">
        <v>2</v>
      </c>
      <c r="F52" s="222" t="str">
        <f t="shared" si="0"/>
        <v>ARCHITECTURE-52</v>
      </c>
      <c r="G52" s="222">
        <f t="shared" si="1"/>
        <v>4</v>
      </c>
      <c r="H52" s="284">
        <f t="shared" ca="1" si="2"/>
        <v>0</v>
      </c>
      <c r="I52" s="284">
        <f t="shared" ca="1" si="3"/>
        <v>0</v>
      </c>
      <c r="J52" s="287" t="s">
        <v>379</v>
      </c>
      <c r="K52" s="229" t="s">
        <v>117</v>
      </c>
      <c r="L52" s="37">
        <f t="shared" ca="1" si="19"/>
        <v>0</v>
      </c>
      <c r="M52" s="37">
        <f t="shared" ca="1" si="19"/>
        <v>0</v>
      </c>
      <c r="N52" s="37">
        <f t="shared" ca="1" si="19"/>
        <v>0</v>
      </c>
      <c r="O52" s="230">
        <f ca="1">IF( AND($L52=1,$M52=1,$N52&gt;$O$56 ), 3,
    IF( AND($L52=1,$M52&gt;$O$56 ), 2,
      IF( $L52=1, 1, 0)
  )
) + N("MIL3 tarkistus 1. rivillä, MIL2 tarkistus 2. rivillä, ja lopuksi MIL1 tarkistus.")</f>
        <v>0</v>
      </c>
      <c r="P52" s="217"/>
      <c r="Q52" s="217"/>
      <c r="R52" s="217"/>
      <c r="S52" s="217"/>
      <c r="T52" s="217"/>
      <c r="U52" s="217"/>
      <c r="V52" s="217"/>
      <c r="W52" s="278" t="str">
        <f ca="1">AB52&amp;"-"&amp;COUNTIF($AB$2:$AB52,$AB52)</f>
        <v>1-2-0-10</v>
      </c>
      <c r="X52" s="278" t="s">
        <v>379</v>
      </c>
      <c r="Y52" s="289">
        <f t="shared" ca="1" si="16"/>
        <v>1</v>
      </c>
      <c r="Z52" s="271">
        <v>2</v>
      </c>
      <c r="AA52" s="277">
        <f t="shared" ca="1" si="5"/>
        <v>0</v>
      </c>
      <c r="AB52" s="279" t="str">
        <f t="shared" ca="1" si="8"/>
        <v>1-2-0</v>
      </c>
    </row>
    <row r="53" spans="1:28" x14ac:dyDescent="0.25">
      <c r="A53" s="281" t="s">
        <v>83</v>
      </c>
      <c r="B53" s="281" t="s">
        <v>136</v>
      </c>
      <c r="C53" s="281" t="s">
        <v>380</v>
      </c>
      <c r="D53" s="281" t="s">
        <v>154</v>
      </c>
      <c r="E53" s="281">
        <v>3</v>
      </c>
      <c r="F53" s="222" t="str">
        <f t="shared" si="0"/>
        <v>ARCHITECTURE-53</v>
      </c>
      <c r="G53" s="222">
        <f t="shared" si="1"/>
        <v>3</v>
      </c>
      <c r="H53" s="284">
        <f t="shared" ca="1" si="2"/>
        <v>0</v>
      </c>
      <c r="I53" s="284">
        <f t="shared" ca="1" si="3"/>
        <v>0</v>
      </c>
      <c r="J53" s="287" t="s">
        <v>380</v>
      </c>
      <c r="K53" s="229" t="s">
        <v>119</v>
      </c>
      <c r="L53" s="37">
        <f t="shared" ca="1" si="19"/>
        <v>0</v>
      </c>
      <c r="M53" s="37">
        <f t="shared" ca="1" si="19"/>
        <v>0</v>
      </c>
      <c r="N53" s="37">
        <f t="shared" ca="1" si="19"/>
        <v>0</v>
      </c>
      <c r="O53" s="230">
        <f ca="1">IF( AND($L53=1,$M53=1,$N53&gt;$O$56 ), 3,
    IF( AND($L53=1,$M53&gt;$O$56 ), 2,
      IF( $L53=1, 1, 0)
  )
) + N("MIL3 tarkistus 1. rivillä, MIL2 tarkistus 2. rivillä, ja lopuksi MIL1 tarkistus.")</f>
        <v>0</v>
      </c>
      <c r="P53" s="217"/>
      <c r="Q53" s="217"/>
      <c r="R53" s="217"/>
      <c r="S53" s="217"/>
      <c r="T53" s="217"/>
      <c r="U53" s="217"/>
      <c r="V53" s="217"/>
      <c r="W53" s="278" t="str">
        <f ca="1">AB53&amp;"-"&amp;COUNTIF($AB$2:$AB53,$AB53)</f>
        <v>1-3-0-6</v>
      </c>
      <c r="X53" s="278" t="s">
        <v>380</v>
      </c>
      <c r="Y53" s="289">
        <f t="shared" ca="1" si="16"/>
        <v>1</v>
      </c>
      <c r="Z53" s="271">
        <v>3</v>
      </c>
      <c r="AA53" s="277">
        <f t="shared" ca="1" si="5"/>
        <v>0</v>
      </c>
      <c r="AB53" s="279" t="str">
        <f t="shared" ca="1" si="8"/>
        <v>1-3-0</v>
      </c>
    </row>
    <row r="54" spans="1:28" x14ac:dyDescent="0.25">
      <c r="A54" s="281" t="s">
        <v>83</v>
      </c>
      <c r="B54" s="281" t="s">
        <v>136</v>
      </c>
      <c r="C54" s="281" t="s">
        <v>381</v>
      </c>
      <c r="D54" s="281" t="s">
        <v>156</v>
      </c>
      <c r="E54" s="281">
        <v>3</v>
      </c>
      <c r="F54" s="222" t="str">
        <f t="shared" si="0"/>
        <v>ARCHITECTURE-53</v>
      </c>
      <c r="G54" s="222">
        <f t="shared" si="1"/>
        <v>3</v>
      </c>
      <c r="H54" s="284">
        <f t="shared" ca="1" si="2"/>
        <v>0</v>
      </c>
      <c r="I54" s="284">
        <f t="shared" ca="1" si="3"/>
        <v>0</v>
      </c>
      <c r="J54" s="287" t="s">
        <v>381</v>
      </c>
      <c r="K54" s="229" t="s">
        <v>121</v>
      </c>
      <c r="L54" s="233">
        <v>1</v>
      </c>
      <c r="M54" s="37">
        <f ca="1">SUMIF($F:$F,CONCATENATE($K54,M$1),$I:$I) / VLOOKUP(CONCATENATE($K54,M$1),$F:$G,2,FALSE)</f>
        <v>0</v>
      </c>
      <c r="N54" s="37">
        <f ca="1">SUMIF($F:$F,CONCATENATE($K54,N$1),$I:$I) / VLOOKUP(CONCATENATE($K54,N$1),$F:$G,2,FALSE)</f>
        <v>0</v>
      </c>
      <c r="O54" s="230">
        <f ca="1">IF( AND($L54=1,$M54=1,$N54&gt;$O$56 ), 3,
    IF( AND($L54=1,$M54&gt;$O$56 ), 2,
      IF( $L54=1, 1, 0)
  )
) + N("MIL3 tarkistus 1. rivillä, MIL2 tarkistus 2. rivillä, ja lopuksi MIL1 tarkistus.")</f>
        <v>1</v>
      </c>
      <c r="P54" s="217"/>
      <c r="Q54" s="217"/>
      <c r="R54" s="217"/>
      <c r="S54" s="217"/>
      <c r="T54" s="217"/>
      <c r="U54" s="217"/>
      <c r="V54" s="217"/>
      <c r="W54" s="278" t="str">
        <f ca="1">AB54&amp;"-"&amp;COUNTIF($AB$2:$AB54,$AB54)</f>
        <v>1-3-0-7</v>
      </c>
      <c r="X54" s="278" t="s">
        <v>381</v>
      </c>
      <c r="Y54" s="289">
        <f t="shared" ca="1" si="16"/>
        <v>1</v>
      </c>
      <c r="Z54" s="271">
        <v>3</v>
      </c>
      <c r="AA54" s="277">
        <f t="shared" ca="1" si="5"/>
        <v>0</v>
      </c>
      <c r="AB54" s="279" t="str">
        <f t="shared" ca="1" si="8"/>
        <v>1-3-0</v>
      </c>
    </row>
    <row r="55" spans="1:28" ht="12" thickBot="1" x14ac:dyDescent="0.3">
      <c r="A55" s="281" t="s">
        <v>83</v>
      </c>
      <c r="B55" s="281" t="s">
        <v>136</v>
      </c>
      <c r="C55" s="281" t="s">
        <v>382</v>
      </c>
      <c r="D55" s="281" t="s">
        <v>159</v>
      </c>
      <c r="E55" s="281">
        <v>3</v>
      </c>
      <c r="F55" s="222" t="str">
        <f t="shared" si="0"/>
        <v>ARCHITECTURE-53</v>
      </c>
      <c r="G55" s="222">
        <f t="shared" si="1"/>
        <v>3</v>
      </c>
      <c r="H55" s="284">
        <f t="shared" ca="1" si="2"/>
        <v>0</v>
      </c>
      <c r="I55" s="284">
        <f t="shared" ca="1" si="3"/>
        <v>0</v>
      </c>
      <c r="J55" s="287" t="s">
        <v>382</v>
      </c>
      <c r="W55" s="278" t="str">
        <f ca="1">AB55&amp;"-"&amp;COUNTIF($AB$2:$AB55,$AB55)</f>
        <v>1-3-0-8</v>
      </c>
      <c r="X55" s="278" t="s">
        <v>382</v>
      </c>
      <c r="Y55" s="289">
        <f t="shared" ca="1" si="16"/>
        <v>1</v>
      </c>
      <c r="Z55" s="271">
        <v>3</v>
      </c>
      <c r="AA55" s="277">
        <f t="shared" ca="1" si="5"/>
        <v>0</v>
      </c>
      <c r="AB55" s="279" t="str">
        <f t="shared" ca="1" si="8"/>
        <v>1-3-0</v>
      </c>
    </row>
    <row r="56" spans="1:28" ht="12" thickBot="1" x14ac:dyDescent="0.3">
      <c r="A56" s="281" t="s">
        <v>51</v>
      </c>
      <c r="B56" s="281" t="s">
        <v>53</v>
      </c>
      <c r="C56" s="281" t="s">
        <v>92</v>
      </c>
      <c r="D56" s="281" t="s">
        <v>7</v>
      </c>
      <c r="E56" s="281">
        <v>1</v>
      </c>
      <c r="F56" s="222" t="str">
        <f t="shared" si="0"/>
        <v>ASSET-11</v>
      </c>
      <c r="G56" s="222">
        <f t="shared" si="1"/>
        <v>1</v>
      </c>
      <c r="H56" s="284">
        <f t="shared" ca="1" si="2"/>
        <v>0</v>
      </c>
      <c r="I56" s="284">
        <f t="shared" ca="1" si="3"/>
        <v>0</v>
      </c>
      <c r="J56" s="287" t="s">
        <v>92</v>
      </c>
      <c r="O56" s="260">
        <f>Parameters!B3</f>
        <v>0.5</v>
      </c>
      <c r="Q56" s="243"/>
      <c r="R56" s="243"/>
      <c r="S56" s="243"/>
      <c r="T56" s="243"/>
      <c r="U56" s="243"/>
      <c r="V56" s="243"/>
      <c r="W56" s="278" t="str">
        <f ca="1">AB56&amp;"-"&amp;COUNTIF($AB$2:$AB56,$AB56)</f>
        <v>0-1-0-11</v>
      </c>
      <c r="X56" s="278" t="s">
        <v>92</v>
      </c>
      <c r="Y56" s="289">
        <f t="shared" ca="1" si="16"/>
        <v>0</v>
      </c>
      <c r="Z56" s="271">
        <v>1</v>
      </c>
      <c r="AA56" s="277">
        <f t="shared" ca="1" si="5"/>
        <v>0</v>
      </c>
      <c r="AB56" s="279" t="str">
        <f t="shared" ca="1" si="8"/>
        <v>0-1-0</v>
      </c>
    </row>
    <row r="57" spans="1:28" x14ac:dyDescent="0.25">
      <c r="A57" s="281" t="s">
        <v>51</v>
      </c>
      <c r="B57" s="281" t="s">
        <v>53</v>
      </c>
      <c r="C57" s="281" t="s">
        <v>94</v>
      </c>
      <c r="D57" s="281" t="s">
        <v>9</v>
      </c>
      <c r="E57" s="281">
        <v>2</v>
      </c>
      <c r="F57" s="222" t="str">
        <f t="shared" si="0"/>
        <v>ASSET-12</v>
      </c>
      <c r="G57" s="222">
        <f t="shared" si="1"/>
        <v>2</v>
      </c>
      <c r="H57" s="284">
        <f t="shared" ca="1" si="2"/>
        <v>0</v>
      </c>
      <c r="I57" s="284">
        <f t="shared" ca="1" si="3"/>
        <v>0</v>
      </c>
      <c r="J57" s="287" t="s">
        <v>94</v>
      </c>
      <c r="O57" s="288" t="s">
        <v>1615</v>
      </c>
      <c r="W57" s="278" t="str">
        <f ca="1">AB57&amp;"-"&amp;COUNTIF($AB$2:$AB57,$AB57)</f>
        <v>0-2-0-16</v>
      </c>
      <c r="X57" s="278" t="s">
        <v>94</v>
      </c>
      <c r="Y57" s="289">
        <f t="shared" ca="1" si="16"/>
        <v>0</v>
      </c>
      <c r="Z57" s="271">
        <v>2</v>
      </c>
      <c r="AA57" s="277">
        <f t="shared" ca="1" si="5"/>
        <v>0</v>
      </c>
      <c r="AB57" s="279" t="str">
        <f t="shared" ca="1" si="8"/>
        <v>0-2-0</v>
      </c>
    </row>
    <row r="58" spans="1:28" x14ac:dyDescent="0.25">
      <c r="A58" s="281" t="s">
        <v>51</v>
      </c>
      <c r="B58" s="281" t="s">
        <v>53</v>
      </c>
      <c r="C58" s="281" t="s">
        <v>95</v>
      </c>
      <c r="D58" s="281" t="s">
        <v>10</v>
      </c>
      <c r="E58" s="281">
        <v>2</v>
      </c>
      <c r="F58" s="222" t="str">
        <f t="shared" si="0"/>
        <v>ASSET-12</v>
      </c>
      <c r="G58" s="222">
        <f t="shared" si="1"/>
        <v>2</v>
      </c>
      <c r="H58" s="284">
        <f t="shared" ca="1" si="2"/>
        <v>0</v>
      </c>
      <c r="I58" s="284">
        <f t="shared" ca="1" si="3"/>
        <v>0</v>
      </c>
      <c r="J58" s="287" t="s">
        <v>95</v>
      </c>
      <c r="W58" s="278" t="str">
        <f ca="1">AB58&amp;"-"&amp;COUNTIF($AB$2:$AB58,$AB58)</f>
        <v>0-2-0-17</v>
      </c>
      <c r="X58" s="278" t="s">
        <v>95</v>
      </c>
      <c r="Y58" s="289">
        <f t="shared" ca="1" si="16"/>
        <v>0</v>
      </c>
      <c r="Z58" s="271">
        <v>2</v>
      </c>
      <c r="AA58" s="277">
        <f t="shared" ca="1" si="5"/>
        <v>0</v>
      </c>
      <c r="AB58" s="279" t="str">
        <f t="shared" ca="1" si="8"/>
        <v>0-2-0</v>
      </c>
    </row>
    <row r="59" spans="1:28" x14ac:dyDescent="0.25">
      <c r="A59" s="281" t="s">
        <v>51</v>
      </c>
      <c r="B59" s="281" t="s">
        <v>53</v>
      </c>
      <c r="C59" s="281" t="s">
        <v>97</v>
      </c>
      <c r="D59" s="281" t="s">
        <v>11</v>
      </c>
      <c r="E59" s="281">
        <v>3</v>
      </c>
      <c r="F59" s="222" t="str">
        <f t="shared" si="0"/>
        <v>ASSET-13</v>
      </c>
      <c r="G59" s="222">
        <f t="shared" si="1"/>
        <v>3</v>
      </c>
      <c r="H59" s="284">
        <f t="shared" ca="1" si="2"/>
        <v>0</v>
      </c>
      <c r="I59" s="284">
        <f t="shared" ca="1" si="3"/>
        <v>0</v>
      </c>
      <c r="J59" s="287" t="s">
        <v>97</v>
      </c>
      <c r="W59" s="278" t="str">
        <f ca="1">AB59&amp;"-"&amp;COUNTIF($AB$2:$AB59,$AB59)</f>
        <v>0-3-0-12</v>
      </c>
      <c r="X59" s="278" t="s">
        <v>97</v>
      </c>
      <c r="Y59" s="289">
        <f t="shared" ca="1" si="16"/>
        <v>0</v>
      </c>
      <c r="Z59" s="271">
        <v>3</v>
      </c>
      <c r="AA59" s="277">
        <f t="shared" ca="1" si="5"/>
        <v>0</v>
      </c>
      <c r="AB59" s="279" t="str">
        <f t="shared" ca="1" si="8"/>
        <v>0-3-0</v>
      </c>
    </row>
    <row r="60" spans="1:28" x14ac:dyDescent="0.25">
      <c r="A60" s="281" t="s">
        <v>51</v>
      </c>
      <c r="B60" s="281" t="s">
        <v>53</v>
      </c>
      <c r="C60" s="281" t="s">
        <v>99</v>
      </c>
      <c r="D60" s="281" t="s">
        <v>12</v>
      </c>
      <c r="E60" s="281">
        <v>3</v>
      </c>
      <c r="F60" s="222" t="str">
        <f t="shared" si="0"/>
        <v>ASSET-13</v>
      </c>
      <c r="G60" s="222">
        <f t="shared" si="1"/>
        <v>3</v>
      </c>
      <c r="H60" s="284">
        <f t="shared" ca="1" si="2"/>
        <v>0</v>
      </c>
      <c r="I60" s="284">
        <f t="shared" ca="1" si="3"/>
        <v>0</v>
      </c>
      <c r="J60" s="287" t="s">
        <v>99</v>
      </c>
      <c r="W60" s="278" t="str">
        <f ca="1">AB60&amp;"-"&amp;COUNTIF($AB$2:$AB60,$AB60)</f>
        <v>0-3-0-13</v>
      </c>
      <c r="X60" s="278" t="s">
        <v>99</v>
      </c>
      <c r="Y60" s="289">
        <f t="shared" ca="1" si="16"/>
        <v>0</v>
      </c>
      <c r="Z60" s="271">
        <v>3</v>
      </c>
      <c r="AA60" s="277">
        <f t="shared" ca="1" si="5"/>
        <v>0</v>
      </c>
      <c r="AB60" s="279" t="str">
        <f t="shared" ca="1" si="8"/>
        <v>0-3-0</v>
      </c>
    </row>
    <row r="61" spans="1:28" x14ac:dyDescent="0.25">
      <c r="A61" s="281" t="s">
        <v>51</v>
      </c>
      <c r="B61" s="281" t="s">
        <v>53</v>
      </c>
      <c r="C61" s="281" t="s">
        <v>101</v>
      </c>
      <c r="D61" s="281" t="s">
        <v>13</v>
      </c>
      <c r="E61" s="281">
        <v>3</v>
      </c>
      <c r="F61" s="222" t="str">
        <f t="shared" si="0"/>
        <v>ASSET-13</v>
      </c>
      <c r="G61" s="222">
        <f t="shared" si="1"/>
        <v>3</v>
      </c>
      <c r="H61" s="284">
        <f t="shared" ca="1" si="2"/>
        <v>0</v>
      </c>
      <c r="I61" s="284">
        <f t="shared" ca="1" si="3"/>
        <v>0</v>
      </c>
      <c r="J61" s="287" t="s">
        <v>101</v>
      </c>
      <c r="W61" s="278" t="str">
        <f ca="1">AB61&amp;"-"&amp;COUNTIF($AB$2:$AB61,$AB61)</f>
        <v>0-3-0-14</v>
      </c>
      <c r="X61" s="278" t="s">
        <v>101</v>
      </c>
      <c r="Y61" s="289">
        <f t="shared" ca="1" si="16"/>
        <v>0</v>
      </c>
      <c r="Z61" s="271">
        <v>3</v>
      </c>
      <c r="AA61" s="277">
        <f t="shared" ca="1" si="5"/>
        <v>0</v>
      </c>
      <c r="AB61" s="279" t="str">
        <f t="shared" ca="1" si="8"/>
        <v>0-3-0</v>
      </c>
    </row>
    <row r="62" spans="1:28" x14ac:dyDescent="0.25">
      <c r="A62" s="281" t="s">
        <v>51</v>
      </c>
      <c r="B62" s="281" t="s">
        <v>55</v>
      </c>
      <c r="C62" s="281" t="s">
        <v>103</v>
      </c>
      <c r="D62" s="281" t="s">
        <v>20</v>
      </c>
      <c r="E62" s="281">
        <v>1</v>
      </c>
      <c r="F62" s="222" t="str">
        <f t="shared" si="0"/>
        <v>ASSET-21</v>
      </c>
      <c r="G62" s="222">
        <f t="shared" si="1"/>
        <v>1</v>
      </c>
      <c r="H62" s="284">
        <f t="shared" ca="1" si="2"/>
        <v>0</v>
      </c>
      <c r="I62" s="284">
        <f t="shared" ca="1" si="3"/>
        <v>0</v>
      </c>
      <c r="J62" s="287" t="s">
        <v>103</v>
      </c>
      <c r="W62" s="278" t="str">
        <f ca="1">AB62&amp;"-"&amp;COUNTIF($AB$2:$AB62,$AB62)</f>
        <v>0-1-0-12</v>
      </c>
      <c r="X62" s="278" t="s">
        <v>103</v>
      </c>
      <c r="Y62" s="289">
        <f t="shared" ca="1" si="16"/>
        <v>0</v>
      </c>
      <c r="Z62" s="271">
        <v>1</v>
      </c>
      <c r="AA62" s="277">
        <f t="shared" ca="1" si="5"/>
        <v>0</v>
      </c>
      <c r="AB62" s="279" t="str">
        <f t="shared" ca="1" si="8"/>
        <v>0-1-0</v>
      </c>
    </row>
    <row r="63" spans="1:28" x14ac:dyDescent="0.25">
      <c r="A63" s="281" t="s">
        <v>51</v>
      </c>
      <c r="B63" s="281" t="s">
        <v>55</v>
      </c>
      <c r="C63" s="281" t="s">
        <v>104</v>
      </c>
      <c r="D63" s="281" t="s">
        <v>21</v>
      </c>
      <c r="E63" s="281">
        <v>2</v>
      </c>
      <c r="F63" s="222" t="str">
        <f t="shared" si="0"/>
        <v>ASSET-22</v>
      </c>
      <c r="G63" s="222">
        <f t="shared" si="1"/>
        <v>2</v>
      </c>
      <c r="H63" s="284">
        <f t="shared" ca="1" si="2"/>
        <v>0</v>
      </c>
      <c r="I63" s="284">
        <f t="shared" ca="1" si="3"/>
        <v>0</v>
      </c>
      <c r="J63" s="287" t="s">
        <v>104</v>
      </c>
      <c r="W63" s="278" t="str">
        <f ca="1">AB63&amp;"-"&amp;COUNTIF($AB$2:$AB63,$AB63)</f>
        <v>0-2-0-18</v>
      </c>
      <c r="X63" s="278" t="s">
        <v>104</v>
      </c>
      <c r="Y63" s="289">
        <f t="shared" ca="1" si="16"/>
        <v>0</v>
      </c>
      <c r="Z63" s="271">
        <v>2</v>
      </c>
      <c r="AA63" s="277">
        <f t="shared" ca="1" si="5"/>
        <v>0</v>
      </c>
      <c r="AB63" s="279" t="str">
        <f t="shared" ca="1" si="8"/>
        <v>0-2-0</v>
      </c>
    </row>
    <row r="64" spans="1:28" x14ac:dyDescent="0.25">
      <c r="A64" s="281" t="s">
        <v>51</v>
      </c>
      <c r="B64" s="281" t="s">
        <v>55</v>
      </c>
      <c r="C64" s="281" t="s">
        <v>106</v>
      </c>
      <c r="D64" s="281" t="s">
        <v>22</v>
      </c>
      <c r="E64" s="281">
        <v>2</v>
      </c>
      <c r="F64" s="222" t="str">
        <f t="shared" si="0"/>
        <v>ASSET-22</v>
      </c>
      <c r="G64" s="222">
        <f t="shared" si="1"/>
        <v>2</v>
      </c>
      <c r="H64" s="284">
        <f t="shared" ca="1" si="2"/>
        <v>0</v>
      </c>
      <c r="I64" s="284">
        <f t="shared" ca="1" si="3"/>
        <v>0</v>
      </c>
      <c r="J64" s="287" t="s">
        <v>106</v>
      </c>
      <c r="W64" s="278" t="str">
        <f ca="1">AB64&amp;"-"&amp;COUNTIF($AB$2:$AB64,$AB64)</f>
        <v>0-2-0-19</v>
      </c>
      <c r="X64" s="278" t="s">
        <v>106</v>
      </c>
      <c r="Y64" s="289">
        <f t="shared" ca="1" si="16"/>
        <v>0</v>
      </c>
      <c r="Z64" s="271">
        <v>2</v>
      </c>
      <c r="AA64" s="277">
        <f t="shared" ca="1" si="5"/>
        <v>0</v>
      </c>
      <c r="AB64" s="279" t="str">
        <f t="shared" ca="1" si="8"/>
        <v>0-2-0</v>
      </c>
    </row>
    <row r="65" spans="1:28" x14ac:dyDescent="0.25">
      <c r="A65" s="281" t="s">
        <v>51</v>
      </c>
      <c r="B65" s="281" t="s">
        <v>55</v>
      </c>
      <c r="C65" s="281" t="s">
        <v>108</v>
      </c>
      <c r="D65" s="281" t="s">
        <v>23</v>
      </c>
      <c r="E65" s="281">
        <v>3</v>
      </c>
      <c r="F65" s="222" t="str">
        <f t="shared" si="0"/>
        <v>ASSET-23</v>
      </c>
      <c r="G65" s="222">
        <f t="shared" si="1"/>
        <v>3</v>
      </c>
      <c r="H65" s="284">
        <f t="shared" ca="1" si="2"/>
        <v>0</v>
      </c>
      <c r="I65" s="284">
        <f t="shared" ca="1" si="3"/>
        <v>0</v>
      </c>
      <c r="J65" s="287" t="s">
        <v>108</v>
      </c>
      <c r="W65" s="278" t="str">
        <f ca="1">AB65&amp;"-"&amp;COUNTIF($AB$2:$AB65,$AB65)</f>
        <v>0-3-0-15</v>
      </c>
      <c r="X65" s="278" t="s">
        <v>108</v>
      </c>
      <c r="Y65" s="289">
        <f t="shared" ca="1" si="16"/>
        <v>0</v>
      </c>
      <c r="Z65" s="271">
        <v>3</v>
      </c>
      <c r="AA65" s="277">
        <f t="shared" ca="1" si="5"/>
        <v>0</v>
      </c>
      <c r="AB65" s="279" t="str">
        <f t="shared" ca="1" si="8"/>
        <v>0-3-0</v>
      </c>
    </row>
    <row r="66" spans="1:28" x14ac:dyDescent="0.25">
      <c r="A66" s="281" t="s">
        <v>51</v>
      </c>
      <c r="B66" s="281" t="s">
        <v>55</v>
      </c>
      <c r="C66" s="281" t="s">
        <v>110</v>
      </c>
      <c r="D66" s="281" t="s">
        <v>24</v>
      </c>
      <c r="E66" s="281">
        <v>3</v>
      </c>
      <c r="F66" s="222" t="str">
        <f t="shared" ref="F66:F129" si="20">CONCATENATE($B66,$E66)</f>
        <v>ASSET-23</v>
      </c>
      <c r="G66" s="222">
        <f t="shared" ref="G66:G129" si="21">COUNTIF($F:$F,$F66)</f>
        <v>3</v>
      </c>
      <c r="H66" s="284">
        <f t="shared" ref="H66:H129" ca="1" si="22">INT(LEFT(
VLOOKUP($D66, INDIRECT("'"&amp;$A66&amp;"'!"&amp;"$D:$H"), 5,FALSE), 1)
)</f>
        <v>0</v>
      </c>
      <c r="I66" s="284">
        <f t="shared" ref="I66:I129" ca="1" si="23">IFERROR(IF(H66&gt;2,1,0),0)</f>
        <v>0</v>
      </c>
      <c r="J66" s="287" t="s">
        <v>110</v>
      </c>
      <c r="W66" s="278" t="str">
        <f ca="1">AB66&amp;"-"&amp;COUNTIF($AB$2:$AB66,$AB66)</f>
        <v>0-3-0-16</v>
      </c>
      <c r="X66" s="278" t="s">
        <v>110</v>
      </c>
      <c r="Y66" s="289">
        <f t="shared" ref="Y66:Y97" ca="1" si="24">VLOOKUP(LEFT($X66,LEN($X66)-1),$K:$O,5,FALSE)</f>
        <v>0</v>
      </c>
      <c r="Z66" s="271">
        <v>3</v>
      </c>
      <c r="AA66" s="277">
        <f t="shared" ref="AA66:AA129" ca="1" si="25">VLOOKUP(X66,C:I,7,FALSE)</f>
        <v>0</v>
      </c>
      <c r="AB66" s="279" t="str">
        <f t="shared" ca="1" si="8"/>
        <v>0-3-0</v>
      </c>
    </row>
    <row r="67" spans="1:28" x14ac:dyDescent="0.25">
      <c r="A67" s="281" t="s">
        <v>51</v>
      </c>
      <c r="B67" s="281" t="s">
        <v>55</v>
      </c>
      <c r="C67" s="281" t="s">
        <v>111</v>
      </c>
      <c r="D67" s="281" t="s">
        <v>112</v>
      </c>
      <c r="E67" s="281">
        <v>3</v>
      </c>
      <c r="F67" s="222" t="str">
        <f t="shared" si="20"/>
        <v>ASSET-23</v>
      </c>
      <c r="G67" s="222">
        <f t="shared" si="21"/>
        <v>3</v>
      </c>
      <c r="H67" s="284">
        <f t="shared" ca="1" si="22"/>
        <v>0</v>
      </c>
      <c r="I67" s="284">
        <f t="shared" ca="1" si="23"/>
        <v>0</v>
      </c>
      <c r="J67" s="287" t="s">
        <v>111</v>
      </c>
      <c r="W67" s="278" t="str">
        <f ca="1">AB67&amp;"-"&amp;COUNTIF($AB$2:$AB67,$AB67)</f>
        <v>0-3-0-17</v>
      </c>
      <c r="X67" s="278" t="s">
        <v>111</v>
      </c>
      <c r="Y67" s="289">
        <f t="shared" ca="1" si="24"/>
        <v>0</v>
      </c>
      <c r="Z67" s="271">
        <v>3</v>
      </c>
      <c r="AA67" s="277">
        <f t="shared" ca="1" si="25"/>
        <v>0</v>
      </c>
      <c r="AB67" s="279" t="str">
        <f t="shared" ref="AB67:AB130" ca="1" si="26">Y67&amp;"-"&amp;Z67&amp;"-"&amp;AA67</f>
        <v>0-3-0</v>
      </c>
    </row>
    <row r="68" spans="1:28" x14ac:dyDescent="0.25">
      <c r="A68" s="281" t="s">
        <v>51</v>
      </c>
      <c r="B68" s="281" t="s">
        <v>57</v>
      </c>
      <c r="C68" s="281" t="s">
        <v>114</v>
      </c>
      <c r="D68" s="281" t="s">
        <v>25</v>
      </c>
      <c r="E68" s="281">
        <v>1</v>
      </c>
      <c r="F68" s="222" t="str">
        <f t="shared" si="20"/>
        <v>ASSET-31</v>
      </c>
      <c r="G68" s="222">
        <f t="shared" si="21"/>
        <v>2</v>
      </c>
      <c r="H68" s="284">
        <f t="shared" ca="1" si="22"/>
        <v>0</v>
      </c>
      <c r="I68" s="284">
        <f t="shared" ca="1" si="23"/>
        <v>0</v>
      </c>
      <c r="J68" s="287" t="s">
        <v>114</v>
      </c>
      <c r="W68" s="278" t="str">
        <f ca="1">AB68&amp;"-"&amp;COUNTIF($AB$2:$AB68,$AB68)</f>
        <v>0-1-0-13</v>
      </c>
      <c r="X68" s="278" t="s">
        <v>114</v>
      </c>
      <c r="Y68" s="289">
        <f t="shared" ca="1" si="24"/>
        <v>0</v>
      </c>
      <c r="Z68" s="271">
        <v>1</v>
      </c>
      <c r="AA68" s="277">
        <f t="shared" ca="1" si="25"/>
        <v>0</v>
      </c>
      <c r="AB68" s="279" t="str">
        <f t="shared" ca="1" si="26"/>
        <v>0-1-0</v>
      </c>
    </row>
    <row r="69" spans="1:28" x14ac:dyDescent="0.25">
      <c r="A69" s="281" t="s">
        <v>51</v>
      </c>
      <c r="B69" s="281" t="s">
        <v>57</v>
      </c>
      <c r="C69" s="281" t="s">
        <v>116</v>
      </c>
      <c r="D69" s="281" t="s">
        <v>26</v>
      </c>
      <c r="E69" s="281">
        <v>1</v>
      </c>
      <c r="F69" s="222" t="str">
        <f t="shared" si="20"/>
        <v>ASSET-31</v>
      </c>
      <c r="G69" s="222">
        <f t="shared" si="21"/>
        <v>2</v>
      </c>
      <c r="H69" s="284">
        <f t="shared" ca="1" si="22"/>
        <v>0</v>
      </c>
      <c r="I69" s="284">
        <f t="shared" ca="1" si="23"/>
        <v>0</v>
      </c>
      <c r="J69" s="287" t="s">
        <v>116</v>
      </c>
      <c r="W69" s="278" t="str">
        <f ca="1">AB69&amp;"-"&amp;COUNTIF($AB$2:$AB69,$AB69)</f>
        <v>0-1-0-14</v>
      </c>
      <c r="X69" s="278" t="s">
        <v>116</v>
      </c>
      <c r="Y69" s="289">
        <f t="shared" ca="1" si="24"/>
        <v>0</v>
      </c>
      <c r="Z69" s="271">
        <v>1</v>
      </c>
      <c r="AA69" s="277">
        <f t="shared" ca="1" si="25"/>
        <v>0</v>
      </c>
      <c r="AB69" s="279" t="str">
        <f t="shared" ca="1" si="26"/>
        <v>0-1-0</v>
      </c>
    </row>
    <row r="70" spans="1:28" x14ac:dyDescent="0.25">
      <c r="A70" s="281" t="s">
        <v>51</v>
      </c>
      <c r="B70" s="281" t="s">
        <v>57</v>
      </c>
      <c r="C70" s="281" t="s">
        <v>118</v>
      </c>
      <c r="D70" s="281" t="s">
        <v>27</v>
      </c>
      <c r="E70" s="281">
        <v>2</v>
      </c>
      <c r="F70" s="222" t="str">
        <f t="shared" si="20"/>
        <v>ASSET-32</v>
      </c>
      <c r="G70" s="222">
        <f t="shared" si="21"/>
        <v>1</v>
      </c>
      <c r="H70" s="284">
        <f t="shared" ca="1" si="22"/>
        <v>0</v>
      </c>
      <c r="I70" s="284">
        <f t="shared" ca="1" si="23"/>
        <v>0</v>
      </c>
      <c r="J70" s="287" t="s">
        <v>118</v>
      </c>
      <c r="W70" s="278" t="str">
        <f ca="1">AB70&amp;"-"&amp;COUNTIF($AB$2:$AB70,$AB70)</f>
        <v>0-2-0-20</v>
      </c>
      <c r="X70" s="278" t="s">
        <v>118</v>
      </c>
      <c r="Y70" s="289">
        <f t="shared" ca="1" si="24"/>
        <v>0</v>
      </c>
      <c r="Z70" s="271">
        <v>2</v>
      </c>
      <c r="AA70" s="277">
        <f t="shared" ca="1" si="25"/>
        <v>0</v>
      </c>
      <c r="AB70" s="279" t="str">
        <f t="shared" ca="1" si="26"/>
        <v>0-2-0</v>
      </c>
    </row>
    <row r="71" spans="1:28" x14ac:dyDescent="0.25">
      <c r="A71" s="281" t="s">
        <v>51</v>
      </c>
      <c r="B71" s="281" t="s">
        <v>57</v>
      </c>
      <c r="C71" s="281" t="s">
        <v>120</v>
      </c>
      <c r="D71" s="281" t="s">
        <v>28</v>
      </c>
      <c r="E71" s="281">
        <v>3</v>
      </c>
      <c r="F71" s="222" t="str">
        <f t="shared" si="20"/>
        <v>ASSET-33</v>
      </c>
      <c r="G71" s="222">
        <f t="shared" si="21"/>
        <v>3</v>
      </c>
      <c r="H71" s="284">
        <f t="shared" ca="1" si="22"/>
        <v>0</v>
      </c>
      <c r="I71" s="284">
        <f t="shared" ca="1" si="23"/>
        <v>0</v>
      </c>
      <c r="J71" s="287" t="s">
        <v>120</v>
      </c>
      <c r="W71" s="278" t="str">
        <f ca="1">AB71&amp;"-"&amp;COUNTIF($AB$2:$AB71,$AB71)</f>
        <v>0-3-0-18</v>
      </c>
      <c r="X71" s="278" t="s">
        <v>120</v>
      </c>
      <c r="Y71" s="289">
        <f t="shared" ca="1" si="24"/>
        <v>0</v>
      </c>
      <c r="Z71" s="271">
        <v>3</v>
      </c>
      <c r="AA71" s="277">
        <f t="shared" ca="1" si="25"/>
        <v>0</v>
      </c>
      <c r="AB71" s="279" t="str">
        <f t="shared" ca="1" si="26"/>
        <v>0-3-0</v>
      </c>
    </row>
    <row r="72" spans="1:28" x14ac:dyDescent="0.25">
      <c r="A72" s="281" t="s">
        <v>51</v>
      </c>
      <c r="B72" s="281" t="s">
        <v>57</v>
      </c>
      <c r="C72" s="281" t="s">
        <v>122</v>
      </c>
      <c r="D72" s="281" t="s">
        <v>29</v>
      </c>
      <c r="E72" s="281">
        <v>3</v>
      </c>
      <c r="F72" s="222" t="str">
        <f t="shared" si="20"/>
        <v>ASSET-33</v>
      </c>
      <c r="G72" s="222">
        <f t="shared" si="21"/>
        <v>3</v>
      </c>
      <c r="H72" s="284">
        <f t="shared" ca="1" si="22"/>
        <v>0</v>
      </c>
      <c r="I72" s="284">
        <f t="shared" ca="1" si="23"/>
        <v>0</v>
      </c>
      <c r="J72" s="287" t="s">
        <v>122</v>
      </c>
      <c r="W72" s="278" t="str">
        <f ca="1">AB72&amp;"-"&amp;COUNTIF($AB$2:$AB72,$AB72)</f>
        <v>0-3-0-19</v>
      </c>
      <c r="X72" s="278" t="s">
        <v>122</v>
      </c>
      <c r="Y72" s="289">
        <f t="shared" ca="1" si="24"/>
        <v>0</v>
      </c>
      <c r="Z72" s="271">
        <v>3</v>
      </c>
      <c r="AA72" s="277">
        <f t="shared" ca="1" si="25"/>
        <v>0</v>
      </c>
      <c r="AB72" s="279" t="str">
        <f t="shared" ca="1" si="26"/>
        <v>0-3-0</v>
      </c>
    </row>
    <row r="73" spans="1:28" x14ac:dyDescent="0.25">
      <c r="A73" s="281" t="s">
        <v>51</v>
      </c>
      <c r="B73" s="281" t="s">
        <v>57</v>
      </c>
      <c r="C73" s="281" t="s">
        <v>123</v>
      </c>
      <c r="D73" s="281" t="s">
        <v>30</v>
      </c>
      <c r="E73" s="281">
        <v>3</v>
      </c>
      <c r="F73" s="222" t="str">
        <f t="shared" si="20"/>
        <v>ASSET-33</v>
      </c>
      <c r="G73" s="222">
        <f t="shared" si="21"/>
        <v>3</v>
      </c>
      <c r="H73" s="284">
        <f t="shared" ca="1" si="22"/>
        <v>0</v>
      </c>
      <c r="I73" s="284">
        <f t="shared" ca="1" si="23"/>
        <v>0</v>
      </c>
      <c r="J73" s="287" t="s">
        <v>123</v>
      </c>
      <c r="W73" s="278" t="str">
        <f ca="1">AB73&amp;"-"&amp;COUNTIF($AB$2:$AB73,$AB73)</f>
        <v>0-3-0-20</v>
      </c>
      <c r="X73" s="278" t="s">
        <v>123</v>
      </c>
      <c r="Y73" s="289">
        <f t="shared" ca="1" si="24"/>
        <v>0</v>
      </c>
      <c r="Z73" s="271">
        <v>3</v>
      </c>
      <c r="AA73" s="277">
        <f t="shared" ca="1" si="25"/>
        <v>0</v>
      </c>
      <c r="AB73" s="279" t="str">
        <f t="shared" ca="1" si="26"/>
        <v>0-3-0</v>
      </c>
    </row>
    <row r="74" spans="1:28" x14ac:dyDescent="0.25">
      <c r="A74" s="281" t="s">
        <v>51</v>
      </c>
      <c r="B74" s="281" t="s">
        <v>59</v>
      </c>
      <c r="C74" s="281" t="s">
        <v>125</v>
      </c>
      <c r="D74" s="281" t="s">
        <v>126</v>
      </c>
      <c r="E74" s="281">
        <v>1</v>
      </c>
      <c r="F74" s="222" t="str">
        <f t="shared" si="20"/>
        <v>ASSET-41</v>
      </c>
      <c r="G74" s="222">
        <f t="shared" si="21"/>
        <v>2</v>
      </c>
      <c r="H74" s="284">
        <f t="shared" ca="1" si="22"/>
        <v>0</v>
      </c>
      <c r="I74" s="284">
        <f t="shared" ca="1" si="23"/>
        <v>0</v>
      </c>
      <c r="J74" s="287" t="s">
        <v>125</v>
      </c>
      <c r="W74" s="278" t="str">
        <f ca="1">AB74&amp;"-"&amp;COUNTIF($AB$2:$AB74,$AB74)</f>
        <v>0-1-0-15</v>
      </c>
      <c r="X74" s="278" t="s">
        <v>125</v>
      </c>
      <c r="Y74" s="289">
        <f t="shared" ca="1" si="24"/>
        <v>0</v>
      </c>
      <c r="Z74" s="271">
        <v>1</v>
      </c>
      <c r="AA74" s="277">
        <f t="shared" ca="1" si="25"/>
        <v>0</v>
      </c>
      <c r="AB74" s="279" t="str">
        <f t="shared" ca="1" si="26"/>
        <v>0-1-0</v>
      </c>
    </row>
    <row r="75" spans="1:28" x14ac:dyDescent="0.25">
      <c r="A75" s="281" t="s">
        <v>51</v>
      </c>
      <c r="B75" s="281" t="s">
        <v>59</v>
      </c>
      <c r="C75" s="281" t="s">
        <v>128</v>
      </c>
      <c r="D75" s="281" t="s">
        <v>129</v>
      </c>
      <c r="E75" s="281">
        <v>1</v>
      </c>
      <c r="F75" s="222" t="str">
        <f t="shared" si="20"/>
        <v>ASSET-41</v>
      </c>
      <c r="G75" s="222">
        <f t="shared" si="21"/>
        <v>2</v>
      </c>
      <c r="H75" s="284">
        <f t="shared" ca="1" si="22"/>
        <v>0</v>
      </c>
      <c r="I75" s="284">
        <f t="shared" ca="1" si="23"/>
        <v>0</v>
      </c>
      <c r="J75" s="287" t="s">
        <v>128</v>
      </c>
      <c r="W75" s="278" t="str">
        <f ca="1">AB75&amp;"-"&amp;COUNTIF($AB$2:$AB75,$AB75)</f>
        <v>0-1-0-16</v>
      </c>
      <c r="X75" s="278" t="s">
        <v>128</v>
      </c>
      <c r="Y75" s="289">
        <f t="shared" ca="1" si="24"/>
        <v>0</v>
      </c>
      <c r="Z75" s="271">
        <v>1</v>
      </c>
      <c r="AA75" s="277">
        <f t="shared" ca="1" si="25"/>
        <v>0</v>
      </c>
      <c r="AB75" s="279" t="str">
        <f t="shared" ca="1" si="26"/>
        <v>0-1-0</v>
      </c>
    </row>
    <row r="76" spans="1:28" x14ac:dyDescent="0.25">
      <c r="A76" s="281" t="s">
        <v>51</v>
      </c>
      <c r="B76" s="281" t="s">
        <v>59</v>
      </c>
      <c r="C76" s="281" t="s">
        <v>131</v>
      </c>
      <c r="D76" s="281" t="s">
        <v>132</v>
      </c>
      <c r="E76" s="281">
        <v>2</v>
      </c>
      <c r="F76" s="222" t="str">
        <f t="shared" si="20"/>
        <v>ASSET-42</v>
      </c>
      <c r="G76" s="222">
        <f t="shared" si="21"/>
        <v>2</v>
      </c>
      <c r="H76" s="284">
        <f t="shared" ca="1" si="22"/>
        <v>0</v>
      </c>
      <c r="I76" s="284">
        <f t="shared" ca="1" si="23"/>
        <v>0</v>
      </c>
      <c r="J76" s="287" t="s">
        <v>131</v>
      </c>
      <c r="W76" s="278" t="str">
        <f ca="1">AB76&amp;"-"&amp;COUNTIF($AB$2:$AB76,$AB76)</f>
        <v>0-2-0-21</v>
      </c>
      <c r="X76" s="278" t="s">
        <v>131</v>
      </c>
      <c r="Y76" s="289">
        <f t="shared" ca="1" si="24"/>
        <v>0</v>
      </c>
      <c r="Z76" s="271">
        <v>2</v>
      </c>
      <c r="AA76" s="277">
        <f t="shared" ca="1" si="25"/>
        <v>0</v>
      </c>
      <c r="AB76" s="279" t="str">
        <f t="shared" ca="1" si="26"/>
        <v>0-2-0</v>
      </c>
    </row>
    <row r="77" spans="1:28" x14ac:dyDescent="0.25">
      <c r="A77" s="281" t="s">
        <v>51</v>
      </c>
      <c r="B77" s="281" t="s">
        <v>59</v>
      </c>
      <c r="C77" s="281" t="s">
        <v>134</v>
      </c>
      <c r="D77" s="281" t="s">
        <v>135</v>
      </c>
      <c r="E77" s="281">
        <v>2</v>
      </c>
      <c r="F77" s="222" t="str">
        <f t="shared" si="20"/>
        <v>ASSET-42</v>
      </c>
      <c r="G77" s="222">
        <f t="shared" si="21"/>
        <v>2</v>
      </c>
      <c r="H77" s="284">
        <f t="shared" ca="1" si="22"/>
        <v>0</v>
      </c>
      <c r="I77" s="284">
        <f t="shared" ca="1" si="23"/>
        <v>0</v>
      </c>
      <c r="J77" s="287" t="s">
        <v>134</v>
      </c>
      <c r="W77" s="278" t="str">
        <f ca="1">AB77&amp;"-"&amp;COUNTIF($AB$2:$AB77,$AB77)</f>
        <v>0-2-0-22</v>
      </c>
      <c r="X77" s="278" t="s">
        <v>134</v>
      </c>
      <c r="Y77" s="289">
        <f t="shared" ca="1" si="24"/>
        <v>0</v>
      </c>
      <c r="Z77" s="271">
        <v>2</v>
      </c>
      <c r="AA77" s="277">
        <f t="shared" ca="1" si="25"/>
        <v>0</v>
      </c>
      <c r="AB77" s="279" t="str">
        <f t="shared" ca="1" si="26"/>
        <v>0-2-0</v>
      </c>
    </row>
    <row r="78" spans="1:28" x14ac:dyDescent="0.25">
      <c r="A78" s="281" t="s">
        <v>51</v>
      </c>
      <c r="B78" s="281" t="s">
        <v>59</v>
      </c>
      <c r="C78" s="281" t="s">
        <v>137</v>
      </c>
      <c r="D78" s="281" t="s">
        <v>138</v>
      </c>
      <c r="E78" s="281">
        <v>3</v>
      </c>
      <c r="F78" s="222" t="str">
        <f t="shared" si="20"/>
        <v>ASSET-43</v>
      </c>
      <c r="G78" s="222">
        <f t="shared" si="21"/>
        <v>2</v>
      </c>
      <c r="H78" s="284">
        <f t="shared" ca="1" si="22"/>
        <v>0</v>
      </c>
      <c r="I78" s="284">
        <f t="shared" ca="1" si="23"/>
        <v>0</v>
      </c>
      <c r="J78" s="287" t="s">
        <v>137</v>
      </c>
      <c r="W78" s="278" t="str">
        <f ca="1">AB78&amp;"-"&amp;COUNTIF($AB$2:$AB78,$AB78)</f>
        <v>0-3-0-21</v>
      </c>
      <c r="X78" s="278" t="s">
        <v>137</v>
      </c>
      <c r="Y78" s="289">
        <f t="shared" ca="1" si="24"/>
        <v>0</v>
      </c>
      <c r="Z78" s="271">
        <v>3</v>
      </c>
      <c r="AA78" s="277">
        <f t="shared" ca="1" si="25"/>
        <v>0</v>
      </c>
      <c r="AB78" s="279" t="str">
        <f t="shared" ca="1" si="26"/>
        <v>0-3-0</v>
      </c>
    </row>
    <row r="79" spans="1:28" x14ac:dyDescent="0.25">
      <c r="A79" s="281" t="s">
        <v>51</v>
      </c>
      <c r="B79" s="281" t="s">
        <v>59</v>
      </c>
      <c r="C79" s="281" t="s">
        <v>139</v>
      </c>
      <c r="D79" s="281" t="s">
        <v>140</v>
      </c>
      <c r="E79" s="281">
        <v>3</v>
      </c>
      <c r="F79" s="222" t="str">
        <f t="shared" si="20"/>
        <v>ASSET-43</v>
      </c>
      <c r="G79" s="222">
        <f t="shared" si="21"/>
        <v>2</v>
      </c>
      <c r="H79" s="284">
        <f t="shared" ca="1" si="22"/>
        <v>0</v>
      </c>
      <c r="I79" s="284">
        <f t="shared" ca="1" si="23"/>
        <v>0</v>
      </c>
      <c r="J79" s="287" t="s">
        <v>139</v>
      </c>
      <c r="W79" s="278" t="str">
        <f ca="1">AB79&amp;"-"&amp;COUNTIF($AB$2:$AB79,$AB79)</f>
        <v>0-3-0-22</v>
      </c>
      <c r="X79" s="278" t="s">
        <v>139</v>
      </c>
      <c r="Y79" s="289">
        <f t="shared" ca="1" si="24"/>
        <v>0</v>
      </c>
      <c r="Z79" s="271">
        <v>3</v>
      </c>
      <c r="AA79" s="277">
        <f t="shared" ca="1" si="25"/>
        <v>0</v>
      </c>
      <c r="AB79" s="279" t="str">
        <f t="shared" ca="1" si="26"/>
        <v>0-3-0</v>
      </c>
    </row>
    <row r="80" spans="1:28" x14ac:dyDescent="0.25">
      <c r="A80" s="281" t="s">
        <v>51</v>
      </c>
      <c r="B80" s="281" t="s">
        <v>62</v>
      </c>
      <c r="C80" s="281" t="s">
        <v>142</v>
      </c>
      <c r="D80" s="281" t="s">
        <v>143</v>
      </c>
      <c r="E80" s="281">
        <v>2</v>
      </c>
      <c r="F80" s="222" t="str">
        <f t="shared" si="20"/>
        <v>ASSET-52</v>
      </c>
      <c r="G80" s="222">
        <f t="shared" si="21"/>
        <v>4</v>
      </c>
      <c r="H80" s="284">
        <f t="shared" ca="1" si="22"/>
        <v>0</v>
      </c>
      <c r="I80" s="284">
        <f t="shared" ca="1" si="23"/>
        <v>0</v>
      </c>
      <c r="J80" s="287" t="s">
        <v>142</v>
      </c>
      <c r="W80" s="278" t="str">
        <f ca="1">AB80&amp;"-"&amp;COUNTIF($AB$2:$AB80,$AB80)</f>
        <v>1-2-0-11</v>
      </c>
      <c r="X80" s="278" t="s">
        <v>142</v>
      </c>
      <c r="Y80" s="289">
        <f t="shared" ca="1" si="24"/>
        <v>1</v>
      </c>
      <c r="Z80" s="271">
        <v>2</v>
      </c>
      <c r="AA80" s="277">
        <f t="shared" ca="1" si="25"/>
        <v>0</v>
      </c>
      <c r="AB80" s="279" t="str">
        <f t="shared" ca="1" si="26"/>
        <v>1-2-0</v>
      </c>
    </row>
    <row r="81" spans="1:28" x14ac:dyDescent="0.25">
      <c r="A81" s="281" t="s">
        <v>51</v>
      </c>
      <c r="B81" s="281" t="s">
        <v>62</v>
      </c>
      <c r="C81" s="281" t="s">
        <v>145</v>
      </c>
      <c r="D81" s="281" t="s">
        <v>146</v>
      </c>
      <c r="E81" s="281">
        <v>2</v>
      </c>
      <c r="F81" s="222" t="str">
        <f t="shared" si="20"/>
        <v>ASSET-52</v>
      </c>
      <c r="G81" s="222">
        <f t="shared" si="21"/>
        <v>4</v>
      </c>
      <c r="H81" s="284">
        <f t="shared" ca="1" si="22"/>
        <v>0</v>
      </c>
      <c r="I81" s="284">
        <f t="shared" ca="1" si="23"/>
        <v>0</v>
      </c>
      <c r="J81" s="287" t="s">
        <v>145</v>
      </c>
      <c r="W81" s="278" t="str">
        <f ca="1">AB81&amp;"-"&amp;COUNTIF($AB$2:$AB81,$AB81)</f>
        <v>1-2-0-12</v>
      </c>
      <c r="X81" s="278" t="s">
        <v>145</v>
      </c>
      <c r="Y81" s="289">
        <f t="shared" ca="1" si="24"/>
        <v>1</v>
      </c>
      <c r="Z81" s="271">
        <v>2</v>
      </c>
      <c r="AA81" s="277">
        <f t="shared" ca="1" si="25"/>
        <v>0</v>
      </c>
      <c r="AB81" s="279" t="str">
        <f t="shared" ca="1" si="26"/>
        <v>1-2-0</v>
      </c>
    </row>
    <row r="82" spans="1:28" x14ac:dyDescent="0.25">
      <c r="A82" s="281" t="s">
        <v>51</v>
      </c>
      <c r="B82" s="281" t="s">
        <v>62</v>
      </c>
      <c r="C82" s="281" t="s">
        <v>148</v>
      </c>
      <c r="D82" s="281" t="s">
        <v>149</v>
      </c>
      <c r="E82" s="281">
        <v>2</v>
      </c>
      <c r="F82" s="222" t="str">
        <f t="shared" si="20"/>
        <v>ASSET-52</v>
      </c>
      <c r="G82" s="222">
        <f t="shared" si="21"/>
        <v>4</v>
      </c>
      <c r="H82" s="284">
        <f t="shared" ca="1" si="22"/>
        <v>0</v>
      </c>
      <c r="I82" s="284">
        <f t="shared" ca="1" si="23"/>
        <v>0</v>
      </c>
      <c r="J82" s="287" t="s">
        <v>148</v>
      </c>
      <c r="W82" s="278" t="str">
        <f ca="1">AB82&amp;"-"&amp;COUNTIF($AB$2:$AB82,$AB82)</f>
        <v>1-2-0-13</v>
      </c>
      <c r="X82" s="278" t="s">
        <v>148</v>
      </c>
      <c r="Y82" s="289">
        <f t="shared" ca="1" si="24"/>
        <v>1</v>
      </c>
      <c r="Z82" s="271">
        <v>2</v>
      </c>
      <c r="AA82" s="277">
        <f t="shared" ca="1" si="25"/>
        <v>0</v>
      </c>
      <c r="AB82" s="279" t="str">
        <f t="shared" ca="1" si="26"/>
        <v>1-2-0</v>
      </c>
    </row>
    <row r="83" spans="1:28" x14ac:dyDescent="0.25">
      <c r="A83" s="281" t="s">
        <v>51</v>
      </c>
      <c r="B83" s="281" t="s">
        <v>62</v>
      </c>
      <c r="C83" s="281" t="s">
        <v>151</v>
      </c>
      <c r="D83" s="281" t="s">
        <v>152</v>
      </c>
      <c r="E83" s="281">
        <v>2</v>
      </c>
      <c r="F83" s="222" t="str">
        <f t="shared" si="20"/>
        <v>ASSET-52</v>
      </c>
      <c r="G83" s="222">
        <f t="shared" si="21"/>
        <v>4</v>
      </c>
      <c r="H83" s="284">
        <f t="shared" ca="1" si="22"/>
        <v>0</v>
      </c>
      <c r="I83" s="284">
        <f t="shared" ca="1" si="23"/>
        <v>0</v>
      </c>
      <c r="J83" s="287" t="s">
        <v>151</v>
      </c>
      <c r="W83" s="278" t="str">
        <f ca="1">AB83&amp;"-"&amp;COUNTIF($AB$2:$AB83,$AB83)</f>
        <v>1-2-0-14</v>
      </c>
      <c r="X83" s="278" t="s">
        <v>151</v>
      </c>
      <c r="Y83" s="289">
        <f t="shared" ca="1" si="24"/>
        <v>1</v>
      </c>
      <c r="Z83" s="271">
        <v>2</v>
      </c>
      <c r="AA83" s="277">
        <f t="shared" ca="1" si="25"/>
        <v>0</v>
      </c>
      <c r="AB83" s="279" t="str">
        <f t="shared" ca="1" si="26"/>
        <v>1-2-0</v>
      </c>
    </row>
    <row r="84" spans="1:28" x14ac:dyDescent="0.25">
      <c r="A84" s="281" t="s">
        <v>51</v>
      </c>
      <c r="B84" s="281" t="s">
        <v>62</v>
      </c>
      <c r="C84" s="281" t="s">
        <v>153</v>
      </c>
      <c r="D84" s="281" t="s">
        <v>154</v>
      </c>
      <c r="E84" s="281">
        <v>3</v>
      </c>
      <c r="F84" s="222" t="str">
        <f t="shared" si="20"/>
        <v>ASSET-53</v>
      </c>
      <c r="G84" s="222">
        <f t="shared" si="21"/>
        <v>3</v>
      </c>
      <c r="H84" s="284">
        <f t="shared" ca="1" si="22"/>
        <v>0</v>
      </c>
      <c r="I84" s="284">
        <f t="shared" ca="1" si="23"/>
        <v>0</v>
      </c>
      <c r="J84" s="287" t="s">
        <v>153</v>
      </c>
      <c r="W84" s="278" t="str">
        <f ca="1">AB84&amp;"-"&amp;COUNTIF($AB$2:$AB84,$AB84)</f>
        <v>1-3-0-9</v>
      </c>
      <c r="X84" s="278" t="s">
        <v>153</v>
      </c>
      <c r="Y84" s="289">
        <f t="shared" ca="1" si="24"/>
        <v>1</v>
      </c>
      <c r="Z84" s="271">
        <v>3</v>
      </c>
      <c r="AA84" s="277">
        <f t="shared" ca="1" si="25"/>
        <v>0</v>
      </c>
      <c r="AB84" s="279" t="str">
        <f t="shared" ca="1" si="26"/>
        <v>1-3-0</v>
      </c>
    </row>
    <row r="85" spans="1:28" x14ac:dyDescent="0.25">
      <c r="A85" s="281" t="s">
        <v>51</v>
      </c>
      <c r="B85" s="281" t="s">
        <v>62</v>
      </c>
      <c r="C85" s="281" t="s">
        <v>155</v>
      </c>
      <c r="D85" s="281" t="s">
        <v>156</v>
      </c>
      <c r="E85" s="281">
        <v>3</v>
      </c>
      <c r="F85" s="222" t="str">
        <f t="shared" si="20"/>
        <v>ASSET-53</v>
      </c>
      <c r="G85" s="222">
        <f t="shared" si="21"/>
        <v>3</v>
      </c>
      <c r="H85" s="284">
        <f t="shared" ca="1" si="22"/>
        <v>0</v>
      </c>
      <c r="I85" s="284">
        <f t="shared" ca="1" si="23"/>
        <v>0</v>
      </c>
      <c r="J85" s="287" t="s">
        <v>155</v>
      </c>
      <c r="W85" s="278" t="str">
        <f ca="1">AB85&amp;"-"&amp;COUNTIF($AB$2:$AB85,$AB85)</f>
        <v>1-3-0-10</v>
      </c>
      <c r="X85" s="278" t="s">
        <v>155</v>
      </c>
      <c r="Y85" s="289">
        <f t="shared" ca="1" si="24"/>
        <v>1</v>
      </c>
      <c r="Z85" s="271">
        <v>3</v>
      </c>
      <c r="AA85" s="277">
        <f t="shared" ca="1" si="25"/>
        <v>0</v>
      </c>
      <c r="AB85" s="279" t="str">
        <f t="shared" ca="1" si="26"/>
        <v>1-3-0</v>
      </c>
    </row>
    <row r="86" spans="1:28" x14ac:dyDescent="0.25">
      <c r="A86" s="281" t="s">
        <v>51</v>
      </c>
      <c r="B86" s="281" t="s">
        <v>62</v>
      </c>
      <c r="C86" s="281" t="s">
        <v>158</v>
      </c>
      <c r="D86" s="281" t="s">
        <v>159</v>
      </c>
      <c r="E86" s="281">
        <v>3</v>
      </c>
      <c r="F86" s="222" t="str">
        <f t="shared" si="20"/>
        <v>ASSET-53</v>
      </c>
      <c r="G86" s="222">
        <f t="shared" si="21"/>
        <v>3</v>
      </c>
      <c r="H86" s="284">
        <f t="shared" ca="1" si="22"/>
        <v>0</v>
      </c>
      <c r="I86" s="284">
        <f t="shared" ca="1" si="23"/>
        <v>0</v>
      </c>
      <c r="J86" s="287" t="s">
        <v>158</v>
      </c>
      <c r="W86" s="278" t="str">
        <f ca="1">AB86&amp;"-"&amp;COUNTIF($AB$2:$AB86,$AB86)</f>
        <v>1-3-0-11</v>
      </c>
      <c r="X86" s="278" t="s">
        <v>158</v>
      </c>
      <c r="Y86" s="289">
        <f t="shared" ca="1" si="24"/>
        <v>1</v>
      </c>
      <c r="Z86" s="271">
        <v>3</v>
      </c>
      <c r="AA86" s="277">
        <f t="shared" ca="1" si="25"/>
        <v>0</v>
      </c>
      <c r="AB86" s="279" t="str">
        <f t="shared" ca="1" si="26"/>
        <v>1-3-0</v>
      </c>
    </row>
    <row r="87" spans="1:28" x14ac:dyDescent="0.25">
      <c r="A87" s="281" t="s">
        <v>60</v>
      </c>
      <c r="B87" s="281" t="s">
        <v>157</v>
      </c>
      <c r="C87" s="281" t="s">
        <v>425</v>
      </c>
      <c r="D87" s="281" t="s">
        <v>7</v>
      </c>
      <c r="E87" s="281">
        <v>1</v>
      </c>
      <c r="F87" s="222" t="str">
        <f t="shared" si="20"/>
        <v>CRITICAL-11</v>
      </c>
      <c r="G87" s="222">
        <f t="shared" si="21"/>
        <v>4</v>
      </c>
      <c r="H87" s="284">
        <f t="shared" ca="1" si="22"/>
        <v>0</v>
      </c>
      <c r="I87" s="284">
        <f t="shared" ca="1" si="23"/>
        <v>0</v>
      </c>
      <c r="J87" s="287" t="s">
        <v>425</v>
      </c>
      <c r="W87" s="278" t="str">
        <f ca="1">AB87&amp;"-"&amp;COUNTIF($AB$2:$AB87,$AB87)</f>
        <v>0-1-0-17</v>
      </c>
      <c r="X87" s="278" t="s">
        <v>425</v>
      </c>
      <c r="Y87" s="289">
        <f t="shared" ca="1" si="24"/>
        <v>0</v>
      </c>
      <c r="Z87" s="271">
        <v>1</v>
      </c>
      <c r="AA87" s="277">
        <f t="shared" ca="1" si="25"/>
        <v>0</v>
      </c>
      <c r="AB87" s="279" t="str">
        <f t="shared" ca="1" si="26"/>
        <v>0-1-0</v>
      </c>
    </row>
    <row r="88" spans="1:28" x14ac:dyDescent="0.25">
      <c r="A88" s="281" t="s">
        <v>60</v>
      </c>
      <c r="B88" s="281" t="s">
        <v>157</v>
      </c>
      <c r="C88" s="281" t="s">
        <v>426</v>
      </c>
      <c r="D88" s="281" t="s">
        <v>9</v>
      </c>
      <c r="E88" s="281">
        <v>1</v>
      </c>
      <c r="F88" s="222" t="str">
        <f t="shared" si="20"/>
        <v>CRITICAL-11</v>
      </c>
      <c r="G88" s="222">
        <f t="shared" si="21"/>
        <v>4</v>
      </c>
      <c r="H88" s="284">
        <f t="shared" ca="1" si="22"/>
        <v>0</v>
      </c>
      <c r="I88" s="284">
        <f t="shared" ca="1" si="23"/>
        <v>0</v>
      </c>
      <c r="J88" s="287" t="s">
        <v>426</v>
      </c>
      <c r="W88" s="278" t="str">
        <f ca="1">AB88&amp;"-"&amp;COUNTIF($AB$2:$AB88,$AB88)</f>
        <v>0-1-0-18</v>
      </c>
      <c r="X88" s="278" t="s">
        <v>426</v>
      </c>
      <c r="Y88" s="289">
        <f t="shared" ca="1" si="24"/>
        <v>0</v>
      </c>
      <c r="Z88" s="271">
        <v>1</v>
      </c>
      <c r="AA88" s="277">
        <f t="shared" ca="1" si="25"/>
        <v>0</v>
      </c>
      <c r="AB88" s="279" t="str">
        <f t="shared" ca="1" si="26"/>
        <v>0-1-0</v>
      </c>
    </row>
    <row r="89" spans="1:28" x14ac:dyDescent="0.25">
      <c r="A89" s="281" t="s">
        <v>60</v>
      </c>
      <c r="B89" s="281" t="s">
        <v>157</v>
      </c>
      <c r="C89" s="281" t="s">
        <v>427</v>
      </c>
      <c r="D89" s="281" t="s">
        <v>10</v>
      </c>
      <c r="E89" s="281">
        <v>1</v>
      </c>
      <c r="F89" s="222" t="str">
        <f t="shared" si="20"/>
        <v>CRITICAL-11</v>
      </c>
      <c r="G89" s="222">
        <f t="shared" si="21"/>
        <v>4</v>
      </c>
      <c r="H89" s="284">
        <f t="shared" ca="1" si="22"/>
        <v>0</v>
      </c>
      <c r="I89" s="284">
        <f t="shared" ca="1" si="23"/>
        <v>0</v>
      </c>
      <c r="J89" s="287" t="s">
        <v>427</v>
      </c>
      <c r="W89" s="278" t="str">
        <f ca="1">AB89&amp;"-"&amp;COUNTIF($AB$2:$AB89,$AB89)</f>
        <v>0-1-0-19</v>
      </c>
      <c r="X89" s="278" t="s">
        <v>427</v>
      </c>
      <c r="Y89" s="289">
        <f t="shared" ca="1" si="24"/>
        <v>0</v>
      </c>
      <c r="Z89" s="271">
        <v>1</v>
      </c>
      <c r="AA89" s="277">
        <f t="shared" ca="1" si="25"/>
        <v>0</v>
      </c>
      <c r="AB89" s="279" t="str">
        <f t="shared" ca="1" si="26"/>
        <v>0-1-0</v>
      </c>
    </row>
    <row r="90" spans="1:28" x14ac:dyDescent="0.25">
      <c r="A90" s="281" t="s">
        <v>60</v>
      </c>
      <c r="B90" s="281" t="s">
        <v>157</v>
      </c>
      <c r="C90" s="281" t="s">
        <v>428</v>
      </c>
      <c r="D90" s="281" t="s">
        <v>11</v>
      </c>
      <c r="E90" s="281">
        <v>1</v>
      </c>
      <c r="F90" s="222" t="str">
        <f t="shared" si="20"/>
        <v>CRITICAL-11</v>
      </c>
      <c r="G90" s="222">
        <f t="shared" si="21"/>
        <v>4</v>
      </c>
      <c r="H90" s="284">
        <f t="shared" ca="1" si="22"/>
        <v>0</v>
      </c>
      <c r="I90" s="284">
        <f t="shared" ca="1" si="23"/>
        <v>0</v>
      </c>
      <c r="J90" s="287" t="s">
        <v>428</v>
      </c>
      <c r="W90" s="278" t="str">
        <f ca="1">AB90&amp;"-"&amp;COUNTIF($AB$2:$AB90,$AB90)</f>
        <v>0-1-0-20</v>
      </c>
      <c r="X90" s="278" t="s">
        <v>428</v>
      </c>
      <c r="Y90" s="289">
        <f t="shared" ca="1" si="24"/>
        <v>0</v>
      </c>
      <c r="Z90" s="271">
        <v>1</v>
      </c>
      <c r="AA90" s="277">
        <f t="shared" ca="1" si="25"/>
        <v>0</v>
      </c>
      <c r="AB90" s="279" t="str">
        <f t="shared" ca="1" si="26"/>
        <v>0-1-0</v>
      </c>
    </row>
    <row r="91" spans="1:28" x14ac:dyDescent="0.25">
      <c r="A91" s="281" t="s">
        <v>60</v>
      </c>
      <c r="B91" s="281" t="s">
        <v>157</v>
      </c>
      <c r="C91" s="281" t="s">
        <v>429</v>
      </c>
      <c r="D91" s="281" t="s">
        <v>12</v>
      </c>
      <c r="E91" s="281">
        <v>2</v>
      </c>
      <c r="F91" s="222" t="str">
        <f t="shared" si="20"/>
        <v>CRITICAL-12</v>
      </c>
      <c r="G91" s="222">
        <f t="shared" si="21"/>
        <v>3</v>
      </c>
      <c r="H91" s="284">
        <f t="shared" ca="1" si="22"/>
        <v>0</v>
      </c>
      <c r="I91" s="284">
        <f t="shared" ca="1" si="23"/>
        <v>0</v>
      </c>
      <c r="J91" s="287" t="s">
        <v>429</v>
      </c>
      <c r="W91" s="278" t="str">
        <f ca="1">AB91&amp;"-"&amp;COUNTIF($AB$2:$AB91,$AB91)</f>
        <v>0-2-0-23</v>
      </c>
      <c r="X91" s="278" t="s">
        <v>429</v>
      </c>
      <c r="Y91" s="289">
        <f t="shared" ca="1" si="24"/>
        <v>0</v>
      </c>
      <c r="Z91" s="271">
        <v>2</v>
      </c>
      <c r="AA91" s="277">
        <f t="shared" ca="1" si="25"/>
        <v>0</v>
      </c>
      <c r="AB91" s="279" t="str">
        <f t="shared" ca="1" si="26"/>
        <v>0-2-0</v>
      </c>
    </row>
    <row r="92" spans="1:28" x14ac:dyDescent="0.25">
      <c r="A92" s="281" t="s">
        <v>60</v>
      </c>
      <c r="B92" s="281" t="s">
        <v>157</v>
      </c>
      <c r="C92" s="281" t="s">
        <v>430</v>
      </c>
      <c r="D92" s="281" t="s">
        <v>13</v>
      </c>
      <c r="E92" s="281">
        <v>2</v>
      </c>
      <c r="F92" s="222" t="str">
        <f t="shared" si="20"/>
        <v>CRITICAL-12</v>
      </c>
      <c r="G92" s="222">
        <f t="shared" si="21"/>
        <v>3</v>
      </c>
      <c r="H92" s="284">
        <f t="shared" ca="1" si="22"/>
        <v>0</v>
      </c>
      <c r="I92" s="284">
        <f t="shared" ca="1" si="23"/>
        <v>0</v>
      </c>
      <c r="J92" s="287" t="s">
        <v>430</v>
      </c>
      <c r="W92" s="278" t="str">
        <f ca="1">AB92&amp;"-"&amp;COUNTIF($AB$2:$AB92,$AB92)</f>
        <v>0-2-0-24</v>
      </c>
      <c r="X92" s="278" t="s">
        <v>430</v>
      </c>
      <c r="Y92" s="289">
        <f t="shared" ca="1" si="24"/>
        <v>0</v>
      </c>
      <c r="Z92" s="271">
        <v>2</v>
      </c>
      <c r="AA92" s="277">
        <f t="shared" ca="1" si="25"/>
        <v>0</v>
      </c>
      <c r="AB92" s="279" t="str">
        <f t="shared" ca="1" si="26"/>
        <v>0-2-0</v>
      </c>
    </row>
    <row r="93" spans="1:28" x14ac:dyDescent="0.25">
      <c r="A93" s="281" t="s">
        <v>60</v>
      </c>
      <c r="B93" s="281" t="s">
        <v>157</v>
      </c>
      <c r="C93" s="281" t="s">
        <v>431</v>
      </c>
      <c r="D93" s="281" t="s">
        <v>14</v>
      </c>
      <c r="E93" s="281">
        <v>2</v>
      </c>
      <c r="F93" s="222" t="str">
        <f t="shared" si="20"/>
        <v>CRITICAL-12</v>
      </c>
      <c r="G93" s="222">
        <f t="shared" si="21"/>
        <v>3</v>
      </c>
      <c r="H93" s="284">
        <f t="shared" ca="1" si="22"/>
        <v>0</v>
      </c>
      <c r="I93" s="284">
        <f t="shared" ca="1" si="23"/>
        <v>0</v>
      </c>
      <c r="J93" s="287" t="s">
        <v>431</v>
      </c>
      <c r="W93" s="278" t="str">
        <f ca="1">AB93&amp;"-"&amp;COUNTIF($AB$2:$AB93,$AB93)</f>
        <v>0-2-0-25</v>
      </c>
      <c r="X93" s="278" t="s">
        <v>431</v>
      </c>
      <c r="Y93" s="289">
        <f t="shared" ca="1" si="24"/>
        <v>0</v>
      </c>
      <c r="Z93" s="271">
        <v>2</v>
      </c>
      <c r="AA93" s="277">
        <f t="shared" ca="1" si="25"/>
        <v>0</v>
      </c>
      <c r="AB93" s="279" t="str">
        <f t="shared" ca="1" si="26"/>
        <v>0-2-0</v>
      </c>
    </row>
    <row r="94" spans="1:28" x14ac:dyDescent="0.25">
      <c r="A94" s="281" t="s">
        <v>60</v>
      </c>
      <c r="B94" s="281" t="s">
        <v>157</v>
      </c>
      <c r="C94" s="281" t="s">
        <v>432</v>
      </c>
      <c r="D94" s="281" t="s">
        <v>15</v>
      </c>
      <c r="E94" s="281">
        <v>3</v>
      </c>
      <c r="F94" s="222" t="str">
        <f t="shared" si="20"/>
        <v>CRITICAL-13</v>
      </c>
      <c r="G94" s="222">
        <f t="shared" si="21"/>
        <v>1</v>
      </c>
      <c r="H94" s="284">
        <f t="shared" ca="1" si="22"/>
        <v>0</v>
      </c>
      <c r="I94" s="284">
        <f t="shared" ca="1" si="23"/>
        <v>0</v>
      </c>
      <c r="J94" s="287" t="s">
        <v>432</v>
      </c>
      <c r="W94" s="278" t="str">
        <f ca="1">AB94&amp;"-"&amp;COUNTIF($AB$2:$AB94,$AB94)</f>
        <v>0-3-0-23</v>
      </c>
      <c r="X94" s="278" t="s">
        <v>432</v>
      </c>
      <c r="Y94" s="289">
        <f t="shared" ca="1" si="24"/>
        <v>0</v>
      </c>
      <c r="Z94" s="271">
        <v>3</v>
      </c>
      <c r="AA94" s="277">
        <f t="shared" ca="1" si="25"/>
        <v>0</v>
      </c>
      <c r="AB94" s="279" t="str">
        <f t="shared" ca="1" si="26"/>
        <v>0-3-0</v>
      </c>
    </row>
    <row r="95" spans="1:28" x14ac:dyDescent="0.25">
      <c r="A95" s="281" t="s">
        <v>60</v>
      </c>
      <c r="B95" s="281" t="s">
        <v>160</v>
      </c>
      <c r="C95" s="281" t="s">
        <v>433</v>
      </c>
      <c r="D95" s="281" t="s">
        <v>20</v>
      </c>
      <c r="E95" s="281">
        <v>1</v>
      </c>
      <c r="F95" s="222" t="str">
        <f t="shared" si="20"/>
        <v>CRITICAL-21</v>
      </c>
      <c r="G95" s="222">
        <f t="shared" si="21"/>
        <v>2</v>
      </c>
      <c r="H95" s="284">
        <f t="shared" ca="1" si="22"/>
        <v>0</v>
      </c>
      <c r="I95" s="284">
        <f t="shared" ca="1" si="23"/>
        <v>0</v>
      </c>
      <c r="J95" s="287" t="s">
        <v>433</v>
      </c>
      <c r="W95" s="278" t="str">
        <f ca="1">AB95&amp;"-"&amp;COUNTIF($AB$2:$AB95,$AB95)</f>
        <v>0-1-0-21</v>
      </c>
      <c r="X95" s="278" t="s">
        <v>433</v>
      </c>
      <c r="Y95" s="289">
        <f t="shared" ca="1" si="24"/>
        <v>0</v>
      </c>
      <c r="Z95" s="271">
        <v>1</v>
      </c>
      <c r="AA95" s="277">
        <f t="shared" ca="1" si="25"/>
        <v>0</v>
      </c>
      <c r="AB95" s="279" t="str">
        <f t="shared" ca="1" si="26"/>
        <v>0-1-0</v>
      </c>
    </row>
    <row r="96" spans="1:28" x14ac:dyDescent="0.25">
      <c r="A96" s="281" t="s">
        <v>60</v>
      </c>
      <c r="B96" s="281" t="s">
        <v>160</v>
      </c>
      <c r="C96" s="281" t="s">
        <v>434</v>
      </c>
      <c r="D96" s="281" t="s">
        <v>21</v>
      </c>
      <c r="E96" s="281">
        <v>1</v>
      </c>
      <c r="F96" s="222" t="str">
        <f t="shared" si="20"/>
        <v>CRITICAL-21</v>
      </c>
      <c r="G96" s="222">
        <f t="shared" si="21"/>
        <v>2</v>
      </c>
      <c r="H96" s="284">
        <f t="shared" ca="1" si="22"/>
        <v>0</v>
      </c>
      <c r="I96" s="284">
        <f t="shared" ca="1" si="23"/>
        <v>0</v>
      </c>
      <c r="J96" s="287" t="s">
        <v>434</v>
      </c>
      <c r="W96" s="278" t="str">
        <f ca="1">AB96&amp;"-"&amp;COUNTIF($AB$2:$AB96,$AB96)</f>
        <v>0-1-0-22</v>
      </c>
      <c r="X96" s="278" t="s">
        <v>434</v>
      </c>
      <c r="Y96" s="289">
        <f t="shared" ca="1" si="24"/>
        <v>0</v>
      </c>
      <c r="Z96" s="271">
        <v>1</v>
      </c>
      <c r="AA96" s="277">
        <f t="shared" ca="1" si="25"/>
        <v>0</v>
      </c>
      <c r="AB96" s="279" t="str">
        <f t="shared" ca="1" si="26"/>
        <v>0-1-0</v>
      </c>
    </row>
    <row r="97" spans="1:28" x14ac:dyDescent="0.25">
      <c r="A97" s="281" t="s">
        <v>60</v>
      </c>
      <c r="B97" s="281" t="s">
        <v>160</v>
      </c>
      <c r="C97" s="281" t="s">
        <v>435</v>
      </c>
      <c r="D97" s="281" t="s">
        <v>22</v>
      </c>
      <c r="E97" s="281">
        <v>2</v>
      </c>
      <c r="F97" s="222" t="str">
        <f t="shared" si="20"/>
        <v>CRITICAL-22</v>
      </c>
      <c r="G97" s="222">
        <f t="shared" si="21"/>
        <v>7</v>
      </c>
      <c r="H97" s="284">
        <f t="shared" ca="1" si="22"/>
        <v>0</v>
      </c>
      <c r="I97" s="284">
        <f t="shared" ca="1" si="23"/>
        <v>0</v>
      </c>
      <c r="J97" s="287" t="s">
        <v>435</v>
      </c>
      <c r="W97" s="278" t="str">
        <f ca="1">AB97&amp;"-"&amp;COUNTIF($AB$2:$AB97,$AB97)</f>
        <v>0-2-0-26</v>
      </c>
      <c r="X97" s="278" t="s">
        <v>435</v>
      </c>
      <c r="Y97" s="289">
        <f t="shared" ca="1" si="24"/>
        <v>0</v>
      </c>
      <c r="Z97" s="271">
        <v>2</v>
      </c>
      <c r="AA97" s="277">
        <f t="shared" ca="1" si="25"/>
        <v>0</v>
      </c>
      <c r="AB97" s="279" t="str">
        <f t="shared" ca="1" si="26"/>
        <v>0-2-0</v>
      </c>
    </row>
    <row r="98" spans="1:28" x14ac:dyDescent="0.25">
      <c r="A98" s="281" t="s">
        <v>60</v>
      </c>
      <c r="B98" s="281" t="s">
        <v>160</v>
      </c>
      <c r="C98" s="281" t="s">
        <v>436</v>
      </c>
      <c r="D98" s="281" t="s">
        <v>23</v>
      </c>
      <c r="E98" s="281">
        <v>2</v>
      </c>
      <c r="F98" s="222" t="str">
        <f t="shared" si="20"/>
        <v>CRITICAL-22</v>
      </c>
      <c r="G98" s="222">
        <f t="shared" si="21"/>
        <v>7</v>
      </c>
      <c r="H98" s="284">
        <f t="shared" ca="1" si="22"/>
        <v>0</v>
      </c>
      <c r="I98" s="284">
        <f t="shared" ca="1" si="23"/>
        <v>0</v>
      </c>
      <c r="J98" s="287" t="s">
        <v>436</v>
      </c>
      <c r="W98" s="278" t="str">
        <f ca="1">AB98&amp;"-"&amp;COUNTIF($AB$2:$AB98,$AB98)</f>
        <v>0-2-0-27</v>
      </c>
      <c r="X98" s="278" t="s">
        <v>436</v>
      </c>
      <c r="Y98" s="289">
        <f t="shared" ref="Y98:Y129" ca="1" si="27">VLOOKUP(LEFT($X98,LEN($X98)-1),$K:$O,5,FALSE)</f>
        <v>0</v>
      </c>
      <c r="Z98" s="271">
        <v>2</v>
      </c>
      <c r="AA98" s="277">
        <f t="shared" ca="1" si="25"/>
        <v>0</v>
      </c>
      <c r="AB98" s="279" t="str">
        <f t="shared" ca="1" si="26"/>
        <v>0-2-0</v>
      </c>
    </row>
    <row r="99" spans="1:28" x14ac:dyDescent="0.25">
      <c r="A99" s="281" t="s">
        <v>60</v>
      </c>
      <c r="B99" s="281" t="s">
        <v>160</v>
      </c>
      <c r="C99" s="281" t="s">
        <v>437</v>
      </c>
      <c r="D99" s="281" t="s">
        <v>24</v>
      </c>
      <c r="E99" s="281">
        <v>2</v>
      </c>
      <c r="F99" s="222" t="str">
        <f t="shared" si="20"/>
        <v>CRITICAL-22</v>
      </c>
      <c r="G99" s="222">
        <f t="shared" si="21"/>
        <v>7</v>
      </c>
      <c r="H99" s="284">
        <f t="shared" ca="1" si="22"/>
        <v>0</v>
      </c>
      <c r="I99" s="284">
        <f t="shared" ca="1" si="23"/>
        <v>0</v>
      </c>
      <c r="J99" s="287" t="s">
        <v>437</v>
      </c>
      <c r="W99" s="278" t="str">
        <f ca="1">AB99&amp;"-"&amp;COUNTIF($AB$2:$AB99,$AB99)</f>
        <v>0-2-0-28</v>
      </c>
      <c r="X99" s="278" t="s">
        <v>437</v>
      </c>
      <c r="Y99" s="289">
        <f t="shared" ca="1" si="27"/>
        <v>0</v>
      </c>
      <c r="Z99" s="271">
        <v>2</v>
      </c>
      <c r="AA99" s="277">
        <f t="shared" ca="1" si="25"/>
        <v>0</v>
      </c>
      <c r="AB99" s="279" t="str">
        <f t="shared" ca="1" si="26"/>
        <v>0-2-0</v>
      </c>
    </row>
    <row r="100" spans="1:28" x14ac:dyDescent="0.25">
      <c r="A100" s="281" t="s">
        <v>60</v>
      </c>
      <c r="B100" s="281" t="s">
        <v>160</v>
      </c>
      <c r="C100" s="281" t="s">
        <v>438</v>
      </c>
      <c r="D100" s="281" t="s">
        <v>112</v>
      </c>
      <c r="E100" s="281">
        <v>2</v>
      </c>
      <c r="F100" s="222" t="str">
        <f t="shared" si="20"/>
        <v>CRITICAL-22</v>
      </c>
      <c r="G100" s="222">
        <f t="shared" si="21"/>
        <v>7</v>
      </c>
      <c r="H100" s="284">
        <f t="shared" ca="1" si="22"/>
        <v>0</v>
      </c>
      <c r="I100" s="284">
        <f t="shared" ca="1" si="23"/>
        <v>0</v>
      </c>
      <c r="J100" s="287" t="s">
        <v>438</v>
      </c>
      <c r="W100" s="278" t="str">
        <f ca="1">AB100&amp;"-"&amp;COUNTIF($AB$2:$AB100,$AB100)</f>
        <v>0-2-0-29</v>
      </c>
      <c r="X100" s="278" t="s">
        <v>438</v>
      </c>
      <c r="Y100" s="289">
        <f t="shared" ca="1" si="27"/>
        <v>0</v>
      </c>
      <c r="Z100" s="271">
        <v>2</v>
      </c>
      <c r="AA100" s="277">
        <f t="shared" ca="1" si="25"/>
        <v>0</v>
      </c>
      <c r="AB100" s="279" t="str">
        <f t="shared" ca="1" si="26"/>
        <v>0-2-0</v>
      </c>
    </row>
    <row r="101" spans="1:28" x14ac:dyDescent="0.25">
      <c r="A101" s="281" t="s">
        <v>60</v>
      </c>
      <c r="B101" s="281" t="s">
        <v>160</v>
      </c>
      <c r="C101" s="281" t="s">
        <v>439</v>
      </c>
      <c r="D101" s="281" t="s">
        <v>176</v>
      </c>
      <c r="E101" s="281">
        <v>2</v>
      </c>
      <c r="F101" s="222" t="str">
        <f t="shared" si="20"/>
        <v>CRITICAL-22</v>
      </c>
      <c r="G101" s="222">
        <f t="shared" si="21"/>
        <v>7</v>
      </c>
      <c r="H101" s="284">
        <f t="shared" ca="1" si="22"/>
        <v>0</v>
      </c>
      <c r="I101" s="284">
        <f t="shared" ca="1" si="23"/>
        <v>0</v>
      </c>
      <c r="J101" s="287" t="s">
        <v>439</v>
      </c>
      <c r="W101" s="278" t="str">
        <f ca="1">AB101&amp;"-"&amp;COUNTIF($AB$2:$AB101,$AB101)</f>
        <v>0-2-0-30</v>
      </c>
      <c r="X101" s="278" t="s">
        <v>439</v>
      </c>
      <c r="Y101" s="289">
        <f t="shared" ca="1" si="27"/>
        <v>0</v>
      </c>
      <c r="Z101" s="271">
        <v>2</v>
      </c>
      <c r="AA101" s="277">
        <f t="shared" ca="1" si="25"/>
        <v>0</v>
      </c>
      <c r="AB101" s="279" t="str">
        <f t="shared" ca="1" si="26"/>
        <v>0-2-0</v>
      </c>
    </row>
    <row r="102" spans="1:28" x14ac:dyDescent="0.25">
      <c r="A102" s="281" t="s">
        <v>60</v>
      </c>
      <c r="B102" s="281" t="s">
        <v>160</v>
      </c>
      <c r="C102" s="281" t="s">
        <v>440</v>
      </c>
      <c r="D102" s="281" t="s">
        <v>178</v>
      </c>
      <c r="E102" s="281">
        <v>2</v>
      </c>
      <c r="F102" s="222" t="str">
        <f t="shared" si="20"/>
        <v>CRITICAL-22</v>
      </c>
      <c r="G102" s="222">
        <f t="shared" si="21"/>
        <v>7</v>
      </c>
      <c r="H102" s="284">
        <f t="shared" ca="1" si="22"/>
        <v>0</v>
      </c>
      <c r="I102" s="284">
        <f t="shared" ca="1" si="23"/>
        <v>0</v>
      </c>
      <c r="J102" s="287" t="s">
        <v>440</v>
      </c>
      <c r="W102" s="278" t="str">
        <f ca="1">AB102&amp;"-"&amp;COUNTIF($AB$2:$AB102,$AB102)</f>
        <v>0-2-0-31</v>
      </c>
      <c r="X102" s="278" t="s">
        <v>440</v>
      </c>
      <c r="Y102" s="289">
        <f t="shared" ca="1" si="27"/>
        <v>0</v>
      </c>
      <c r="Z102" s="271">
        <v>2</v>
      </c>
      <c r="AA102" s="277">
        <f t="shared" ca="1" si="25"/>
        <v>0</v>
      </c>
      <c r="AB102" s="279" t="str">
        <f t="shared" ca="1" si="26"/>
        <v>0-2-0</v>
      </c>
    </row>
    <row r="103" spans="1:28" x14ac:dyDescent="0.25">
      <c r="A103" s="281" t="s">
        <v>60</v>
      </c>
      <c r="B103" s="281" t="s">
        <v>160</v>
      </c>
      <c r="C103" s="281" t="s">
        <v>441</v>
      </c>
      <c r="D103" s="281" t="s">
        <v>209</v>
      </c>
      <c r="E103" s="281">
        <v>2</v>
      </c>
      <c r="F103" s="222" t="str">
        <f t="shared" si="20"/>
        <v>CRITICAL-22</v>
      </c>
      <c r="G103" s="222">
        <f t="shared" si="21"/>
        <v>7</v>
      </c>
      <c r="H103" s="284">
        <f t="shared" ca="1" si="22"/>
        <v>0</v>
      </c>
      <c r="I103" s="284">
        <f t="shared" ca="1" si="23"/>
        <v>0</v>
      </c>
      <c r="J103" s="287" t="s">
        <v>441</v>
      </c>
      <c r="W103" s="278" t="str">
        <f ca="1">AB103&amp;"-"&amp;COUNTIF($AB$2:$AB103,$AB103)</f>
        <v>0-2-0-32</v>
      </c>
      <c r="X103" s="278" t="s">
        <v>441</v>
      </c>
      <c r="Y103" s="289">
        <f t="shared" ca="1" si="27"/>
        <v>0</v>
      </c>
      <c r="Z103" s="271">
        <v>2</v>
      </c>
      <c r="AA103" s="277">
        <f t="shared" ca="1" si="25"/>
        <v>0</v>
      </c>
      <c r="AB103" s="279" t="str">
        <f t="shared" ca="1" si="26"/>
        <v>0-2-0</v>
      </c>
    </row>
    <row r="104" spans="1:28" x14ac:dyDescent="0.25">
      <c r="A104" s="281" t="s">
        <v>60</v>
      </c>
      <c r="B104" s="281" t="s">
        <v>160</v>
      </c>
      <c r="C104" s="281" t="s">
        <v>442</v>
      </c>
      <c r="D104" s="281" t="s">
        <v>211</v>
      </c>
      <c r="E104" s="281">
        <v>3</v>
      </c>
      <c r="F104" s="222" t="str">
        <f t="shared" si="20"/>
        <v>CRITICAL-23</v>
      </c>
      <c r="G104" s="222">
        <f t="shared" si="21"/>
        <v>2</v>
      </c>
      <c r="H104" s="284">
        <f t="shared" ca="1" si="22"/>
        <v>0</v>
      </c>
      <c r="I104" s="284">
        <f t="shared" ca="1" si="23"/>
        <v>0</v>
      </c>
      <c r="J104" s="287" t="s">
        <v>442</v>
      </c>
      <c r="W104" s="278" t="str">
        <f ca="1">AB104&amp;"-"&amp;COUNTIF($AB$2:$AB104,$AB104)</f>
        <v>0-3-0-24</v>
      </c>
      <c r="X104" s="278" t="s">
        <v>442</v>
      </c>
      <c r="Y104" s="289">
        <f t="shared" ca="1" si="27"/>
        <v>0</v>
      </c>
      <c r="Z104" s="271">
        <v>3</v>
      </c>
      <c r="AA104" s="277">
        <f t="shared" ca="1" si="25"/>
        <v>0</v>
      </c>
      <c r="AB104" s="279" t="str">
        <f t="shared" ca="1" si="26"/>
        <v>0-3-0</v>
      </c>
    </row>
    <row r="105" spans="1:28" x14ac:dyDescent="0.25">
      <c r="A105" s="281" t="s">
        <v>60</v>
      </c>
      <c r="B105" s="281" t="s">
        <v>160</v>
      </c>
      <c r="C105" s="281" t="s">
        <v>443</v>
      </c>
      <c r="D105" s="281" t="s">
        <v>213</v>
      </c>
      <c r="E105" s="281">
        <v>3</v>
      </c>
      <c r="F105" s="222" t="str">
        <f t="shared" si="20"/>
        <v>CRITICAL-23</v>
      </c>
      <c r="G105" s="222">
        <f t="shared" si="21"/>
        <v>2</v>
      </c>
      <c r="H105" s="284">
        <f t="shared" ca="1" si="22"/>
        <v>0</v>
      </c>
      <c r="I105" s="284">
        <f t="shared" ca="1" si="23"/>
        <v>0</v>
      </c>
      <c r="J105" s="287" t="s">
        <v>443</v>
      </c>
      <c r="W105" s="278" t="str">
        <f ca="1">AB105&amp;"-"&amp;COUNTIF($AB$2:$AB105,$AB105)</f>
        <v>0-3-0-25</v>
      </c>
      <c r="X105" s="278" t="s">
        <v>443</v>
      </c>
      <c r="Y105" s="289">
        <f t="shared" ca="1" si="27"/>
        <v>0</v>
      </c>
      <c r="Z105" s="271">
        <v>3</v>
      </c>
      <c r="AA105" s="277">
        <f t="shared" ca="1" si="25"/>
        <v>0</v>
      </c>
      <c r="AB105" s="279" t="str">
        <f t="shared" ca="1" si="26"/>
        <v>0-3-0</v>
      </c>
    </row>
    <row r="106" spans="1:28" x14ac:dyDescent="0.25">
      <c r="A106" s="281" t="s">
        <v>60</v>
      </c>
      <c r="B106" s="281" t="s">
        <v>162</v>
      </c>
      <c r="C106" s="281" t="s">
        <v>444</v>
      </c>
      <c r="D106" s="281" t="s">
        <v>25</v>
      </c>
      <c r="E106" s="281">
        <v>1</v>
      </c>
      <c r="F106" s="222" t="str">
        <f t="shared" si="20"/>
        <v>CRITICAL-31</v>
      </c>
      <c r="G106" s="222">
        <f t="shared" si="21"/>
        <v>4</v>
      </c>
      <c r="H106" s="284">
        <f t="shared" ca="1" si="22"/>
        <v>0</v>
      </c>
      <c r="I106" s="284">
        <f t="shared" ca="1" si="23"/>
        <v>0</v>
      </c>
      <c r="J106" s="287" t="s">
        <v>444</v>
      </c>
      <c r="W106" s="278" t="str">
        <f ca="1">AB106&amp;"-"&amp;COUNTIF($AB$2:$AB106,$AB106)</f>
        <v>0-1-0-23</v>
      </c>
      <c r="X106" s="278" t="s">
        <v>444</v>
      </c>
      <c r="Y106" s="289">
        <f t="shared" ca="1" si="27"/>
        <v>0</v>
      </c>
      <c r="Z106" s="271">
        <v>1</v>
      </c>
      <c r="AA106" s="277">
        <f t="shared" ca="1" si="25"/>
        <v>0</v>
      </c>
      <c r="AB106" s="279" t="str">
        <f t="shared" ca="1" si="26"/>
        <v>0-1-0</v>
      </c>
    </row>
    <row r="107" spans="1:28" x14ac:dyDescent="0.25">
      <c r="A107" s="281" t="s">
        <v>60</v>
      </c>
      <c r="B107" s="281" t="s">
        <v>162</v>
      </c>
      <c r="C107" s="281" t="s">
        <v>445</v>
      </c>
      <c r="D107" s="281" t="s">
        <v>26</v>
      </c>
      <c r="E107" s="281">
        <v>1</v>
      </c>
      <c r="F107" s="222" t="str">
        <f t="shared" si="20"/>
        <v>CRITICAL-31</v>
      </c>
      <c r="G107" s="222">
        <f t="shared" si="21"/>
        <v>4</v>
      </c>
      <c r="H107" s="284">
        <f t="shared" ca="1" si="22"/>
        <v>0</v>
      </c>
      <c r="I107" s="284">
        <f t="shared" ca="1" si="23"/>
        <v>0</v>
      </c>
      <c r="J107" s="287" t="s">
        <v>445</v>
      </c>
      <c r="W107" s="278" t="str">
        <f ca="1">AB107&amp;"-"&amp;COUNTIF($AB$2:$AB107,$AB107)</f>
        <v>0-1-0-24</v>
      </c>
      <c r="X107" s="278" t="s">
        <v>445</v>
      </c>
      <c r="Y107" s="289">
        <f t="shared" ca="1" si="27"/>
        <v>0</v>
      </c>
      <c r="Z107" s="271">
        <v>1</v>
      </c>
      <c r="AA107" s="277">
        <f t="shared" ca="1" si="25"/>
        <v>0</v>
      </c>
      <c r="AB107" s="279" t="str">
        <f t="shared" ca="1" si="26"/>
        <v>0-1-0</v>
      </c>
    </row>
    <row r="108" spans="1:28" x14ac:dyDescent="0.25">
      <c r="A108" s="281" t="s">
        <v>60</v>
      </c>
      <c r="B108" s="281" t="s">
        <v>162</v>
      </c>
      <c r="C108" s="281" t="s">
        <v>446</v>
      </c>
      <c r="D108" s="281" t="s">
        <v>27</v>
      </c>
      <c r="E108" s="281">
        <v>1</v>
      </c>
      <c r="F108" s="222" t="str">
        <f t="shared" si="20"/>
        <v>CRITICAL-31</v>
      </c>
      <c r="G108" s="222">
        <f t="shared" si="21"/>
        <v>4</v>
      </c>
      <c r="H108" s="284">
        <f t="shared" ca="1" si="22"/>
        <v>0</v>
      </c>
      <c r="I108" s="284">
        <f t="shared" ca="1" si="23"/>
        <v>0</v>
      </c>
      <c r="J108" s="287" t="s">
        <v>446</v>
      </c>
      <c r="W108" s="278" t="str">
        <f ca="1">AB108&amp;"-"&amp;COUNTIF($AB$2:$AB108,$AB108)</f>
        <v>0-1-0-25</v>
      </c>
      <c r="X108" s="278" t="s">
        <v>446</v>
      </c>
      <c r="Y108" s="289">
        <f t="shared" ca="1" si="27"/>
        <v>0</v>
      </c>
      <c r="Z108" s="271">
        <v>1</v>
      </c>
      <c r="AA108" s="277">
        <f t="shared" ca="1" si="25"/>
        <v>0</v>
      </c>
      <c r="AB108" s="279" t="str">
        <f t="shared" ca="1" si="26"/>
        <v>0-1-0</v>
      </c>
    </row>
    <row r="109" spans="1:28" x14ac:dyDescent="0.25">
      <c r="A109" s="281" t="s">
        <v>60</v>
      </c>
      <c r="B109" s="281" t="s">
        <v>162</v>
      </c>
      <c r="C109" s="281" t="s">
        <v>447</v>
      </c>
      <c r="D109" s="281" t="s">
        <v>28</v>
      </c>
      <c r="E109" s="281">
        <v>1</v>
      </c>
      <c r="F109" s="222" t="str">
        <f t="shared" si="20"/>
        <v>CRITICAL-31</v>
      </c>
      <c r="G109" s="222">
        <f t="shared" si="21"/>
        <v>4</v>
      </c>
      <c r="H109" s="284">
        <f t="shared" ca="1" si="22"/>
        <v>0</v>
      </c>
      <c r="I109" s="284">
        <f t="shared" ca="1" si="23"/>
        <v>0</v>
      </c>
      <c r="J109" s="287" t="s">
        <v>447</v>
      </c>
      <c r="W109" s="278" t="str">
        <f ca="1">AB109&amp;"-"&amp;COUNTIF($AB$2:$AB109,$AB109)</f>
        <v>0-1-0-26</v>
      </c>
      <c r="X109" s="278" t="s">
        <v>447</v>
      </c>
      <c r="Y109" s="289">
        <f t="shared" ca="1" si="27"/>
        <v>0</v>
      </c>
      <c r="Z109" s="271">
        <v>1</v>
      </c>
      <c r="AA109" s="277">
        <f t="shared" ca="1" si="25"/>
        <v>0</v>
      </c>
      <c r="AB109" s="279" t="str">
        <f t="shared" ca="1" si="26"/>
        <v>0-1-0</v>
      </c>
    </row>
    <row r="110" spans="1:28" x14ac:dyDescent="0.25">
      <c r="A110" s="281" t="s">
        <v>60</v>
      </c>
      <c r="B110" s="281" t="s">
        <v>162</v>
      </c>
      <c r="C110" s="281" t="s">
        <v>448</v>
      </c>
      <c r="D110" s="281" t="s">
        <v>29</v>
      </c>
      <c r="E110" s="281">
        <v>2</v>
      </c>
      <c r="F110" s="222" t="str">
        <f t="shared" si="20"/>
        <v>CRITICAL-32</v>
      </c>
      <c r="G110" s="222">
        <f t="shared" si="21"/>
        <v>2</v>
      </c>
      <c r="H110" s="284">
        <f t="shared" ca="1" si="22"/>
        <v>0</v>
      </c>
      <c r="I110" s="284">
        <f t="shared" ca="1" si="23"/>
        <v>0</v>
      </c>
      <c r="J110" s="287" t="s">
        <v>448</v>
      </c>
      <c r="W110" s="278" t="str">
        <f ca="1">AB110&amp;"-"&amp;COUNTIF($AB$2:$AB110,$AB110)</f>
        <v>0-2-0-33</v>
      </c>
      <c r="X110" s="278" t="s">
        <v>448</v>
      </c>
      <c r="Y110" s="289">
        <f t="shared" ca="1" si="27"/>
        <v>0</v>
      </c>
      <c r="Z110" s="271">
        <v>2</v>
      </c>
      <c r="AA110" s="277">
        <f t="shared" ca="1" si="25"/>
        <v>0</v>
      </c>
      <c r="AB110" s="279" t="str">
        <f t="shared" ca="1" si="26"/>
        <v>0-2-0</v>
      </c>
    </row>
    <row r="111" spans="1:28" x14ac:dyDescent="0.25">
      <c r="A111" s="281" t="s">
        <v>60</v>
      </c>
      <c r="B111" s="281" t="s">
        <v>162</v>
      </c>
      <c r="C111" s="281" t="s">
        <v>449</v>
      </c>
      <c r="D111" s="281" t="s">
        <v>30</v>
      </c>
      <c r="E111" s="281">
        <v>2</v>
      </c>
      <c r="F111" s="222" t="str">
        <f t="shared" si="20"/>
        <v>CRITICAL-32</v>
      </c>
      <c r="G111" s="222">
        <f t="shared" si="21"/>
        <v>2</v>
      </c>
      <c r="H111" s="284">
        <f t="shared" ca="1" si="22"/>
        <v>0</v>
      </c>
      <c r="I111" s="284">
        <f t="shared" ca="1" si="23"/>
        <v>0</v>
      </c>
      <c r="J111" s="287" t="s">
        <v>449</v>
      </c>
      <c r="W111" s="278" t="str">
        <f ca="1">AB111&amp;"-"&amp;COUNTIF($AB$2:$AB111,$AB111)</f>
        <v>0-2-0-34</v>
      </c>
      <c r="X111" s="278" t="s">
        <v>449</v>
      </c>
      <c r="Y111" s="289">
        <f t="shared" ca="1" si="27"/>
        <v>0</v>
      </c>
      <c r="Z111" s="271">
        <v>2</v>
      </c>
      <c r="AA111" s="277">
        <f t="shared" ca="1" si="25"/>
        <v>0</v>
      </c>
      <c r="AB111" s="279" t="str">
        <f t="shared" ca="1" si="26"/>
        <v>0-2-0</v>
      </c>
    </row>
    <row r="112" spans="1:28" x14ac:dyDescent="0.25">
      <c r="A112" s="281" t="s">
        <v>60</v>
      </c>
      <c r="B112" s="281" t="s">
        <v>162</v>
      </c>
      <c r="C112" s="281" t="s">
        <v>450</v>
      </c>
      <c r="D112" s="281" t="s">
        <v>31</v>
      </c>
      <c r="E112" s="281">
        <v>3</v>
      </c>
      <c r="F112" s="222" t="str">
        <f t="shared" si="20"/>
        <v>CRITICAL-33</v>
      </c>
      <c r="G112" s="222">
        <f t="shared" si="21"/>
        <v>2</v>
      </c>
      <c r="H112" s="284">
        <f t="shared" ca="1" si="22"/>
        <v>0</v>
      </c>
      <c r="I112" s="284">
        <f t="shared" ca="1" si="23"/>
        <v>0</v>
      </c>
      <c r="J112" s="287" t="s">
        <v>450</v>
      </c>
      <c r="W112" s="278" t="str">
        <f ca="1">AB112&amp;"-"&amp;COUNTIF($AB$2:$AB112,$AB112)</f>
        <v>0-3-0-26</v>
      </c>
      <c r="X112" s="278" t="s">
        <v>450</v>
      </c>
      <c r="Y112" s="289">
        <f t="shared" ca="1" si="27"/>
        <v>0</v>
      </c>
      <c r="Z112" s="271">
        <v>3</v>
      </c>
      <c r="AA112" s="277">
        <f t="shared" ca="1" si="25"/>
        <v>0</v>
      </c>
      <c r="AB112" s="279" t="str">
        <f t="shared" ca="1" si="26"/>
        <v>0-3-0</v>
      </c>
    </row>
    <row r="113" spans="1:28" x14ac:dyDescent="0.25">
      <c r="A113" s="281" t="s">
        <v>60</v>
      </c>
      <c r="B113" s="281" t="s">
        <v>162</v>
      </c>
      <c r="C113" s="281" t="s">
        <v>451</v>
      </c>
      <c r="D113" s="281" t="s">
        <v>247</v>
      </c>
      <c r="E113" s="281">
        <v>3</v>
      </c>
      <c r="F113" s="222" t="str">
        <f t="shared" si="20"/>
        <v>CRITICAL-33</v>
      </c>
      <c r="G113" s="222">
        <f t="shared" si="21"/>
        <v>2</v>
      </c>
      <c r="H113" s="284">
        <f t="shared" ca="1" si="22"/>
        <v>0</v>
      </c>
      <c r="I113" s="284">
        <f t="shared" ca="1" si="23"/>
        <v>0</v>
      </c>
      <c r="J113" s="287" t="s">
        <v>451</v>
      </c>
      <c r="W113" s="278" t="str">
        <f ca="1">AB113&amp;"-"&amp;COUNTIF($AB$2:$AB113,$AB113)</f>
        <v>0-3-0-27</v>
      </c>
      <c r="X113" s="278" t="s">
        <v>451</v>
      </c>
      <c r="Y113" s="289">
        <f t="shared" ca="1" si="27"/>
        <v>0</v>
      </c>
      <c r="Z113" s="271">
        <v>3</v>
      </c>
      <c r="AA113" s="277">
        <f t="shared" ca="1" si="25"/>
        <v>0</v>
      </c>
      <c r="AB113" s="279" t="str">
        <f t="shared" ca="1" si="26"/>
        <v>0-3-0</v>
      </c>
    </row>
    <row r="114" spans="1:28" x14ac:dyDescent="0.25">
      <c r="A114" s="281" t="s">
        <v>77</v>
      </c>
      <c r="B114" s="281" t="s">
        <v>105</v>
      </c>
      <c r="C114" s="281" t="s">
        <v>290</v>
      </c>
      <c r="D114" s="281" t="s">
        <v>7</v>
      </c>
      <c r="E114" s="281">
        <v>1</v>
      </c>
      <c r="F114" s="222" t="str">
        <f t="shared" si="20"/>
        <v>DEPENDENCIES-11</v>
      </c>
      <c r="G114" s="222">
        <f t="shared" si="21"/>
        <v>2</v>
      </c>
      <c r="H114" s="284">
        <f t="shared" ca="1" si="22"/>
        <v>0</v>
      </c>
      <c r="I114" s="284">
        <f t="shared" ca="1" si="23"/>
        <v>0</v>
      </c>
      <c r="J114" s="287" t="s">
        <v>290</v>
      </c>
      <c r="W114" s="278" t="str">
        <f ca="1">AB114&amp;"-"&amp;COUNTIF($AB$2:$AB114,$AB114)</f>
        <v>0-1-0-27</v>
      </c>
      <c r="X114" s="278" t="s">
        <v>290</v>
      </c>
      <c r="Y114" s="289">
        <f t="shared" ca="1" si="27"/>
        <v>0</v>
      </c>
      <c r="Z114" s="271">
        <v>1</v>
      </c>
      <c r="AA114" s="277">
        <f t="shared" ca="1" si="25"/>
        <v>0</v>
      </c>
      <c r="AB114" s="279" t="str">
        <f t="shared" ca="1" si="26"/>
        <v>0-1-0</v>
      </c>
    </row>
    <row r="115" spans="1:28" x14ac:dyDescent="0.25">
      <c r="A115" s="281" t="s">
        <v>77</v>
      </c>
      <c r="B115" s="281" t="s">
        <v>105</v>
      </c>
      <c r="C115" s="281" t="s">
        <v>291</v>
      </c>
      <c r="D115" s="281" t="s">
        <v>9</v>
      </c>
      <c r="E115" s="281">
        <v>1</v>
      </c>
      <c r="F115" s="222" t="str">
        <f t="shared" si="20"/>
        <v>DEPENDENCIES-11</v>
      </c>
      <c r="G115" s="222">
        <f t="shared" si="21"/>
        <v>2</v>
      </c>
      <c r="H115" s="284">
        <f t="shared" ca="1" si="22"/>
        <v>0</v>
      </c>
      <c r="I115" s="284">
        <f t="shared" ca="1" si="23"/>
        <v>0</v>
      </c>
      <c r="J115" s="287" t="s">
        <v>291</v>
      </c>
      <c r="W115" s="278" t="str">
        <f ca="1">AB115&amp;"-"&amp;COUNTIF($AB$2:$AB115,$AB115)</f>
        <v>0-1-0-28</v>
      </c>
      <c r="X115" s="278" t="s">
        <v>291</v>
      </c>
      <c r="Y115" s="289">
        <f t="shared" ca="1" si="27"/>
        <v>0</v>
      </c>
      <c r="Z115" s="271">
        <v>1</v>
      </c>
      <c r="AA115" s="277">
        <f t="shared" ca="1" si="25"/>
        <v>0</v>
      </c>
      <c r="AB115" s="279" t="str">
        <f t="shared" ca="1" si="26"/>
        <v>0-1-0</v>
      </c>
    </row>
    <row r="116" spans="1:28" x14ac:dyDescent="0.25">
      <c r="A116" s="281" t="s">
        <v>77</v>
      </c>
      <c r="B116" s="281" t="s">
        <v>105</v>
      </c>
      <c r="C116" s="281" t="s">
        <v>292</v>
      </c>
      <c r="D116" s="281" t="s">
        <v>10</v>
      </c>
      <c r="E116" s="281">
        <v>2</v>
      </c>
      <c r="F116" s="222" t="str">
        <f t="shared" si="20"/>
        <v>DEPENDENCIES-12</v>
      </c>
      <c r="G116" s="222">
        <f t="shared" si="21"/>
        <v>4</v>
      </c>
      <c r="H116" s="284">
        <f t="shared" ca="1" si="22"/>
        <v>0</v>
      </c>
      <c r="I116" s="284">
        <f t="shared" ca="1" si="23"/>
        <v>0</v>
      </c>
      <c r="J116" s="287" t="s">
        <v>292</v>
      </c>
      <c r="W116" s="278" t="str">
        <f ca="1">AB116&amp;"-"&amp;COUNTIF($AB$2:$AB116,$AB116)</f>
        <v>0-2-0-35</v>
      </c>
      <c r="X116" s="278" t="s">
        <v>292</v>
      </c>
      <c r="Y116" s="289">
        <f t="shared" ca="1" si="27"/>
        <v>0</v>
      </c>
      <c r="Z116" s="271">
        <v>2</v>
      </c>
      <c r="AA116" s="277">
        <f t="shared" ca="1" si="25"/>
        <v>0</v>
      </c>
      <c r="AB116" s="279" t="str">
        <f t="shared" ca="1" si="26"/>
        <v>0-2-0</v>
      </c>
    </row>
    <row r="117" spans="1:28" x14ac:dyDescent="0.25">
      <c r="A117" s="281" t="s">
        <v>77</v>
      </c>
      <c r="B117" s="281" t="s">
        <v>105</v>
      </c>
      <c r="C117" s="281" t="s">
        <v>293</v>
      </c>
      <c r="D117" s="281" t="s">
        <v>11</v>
      </c>
      <c r="E117" s="281">
        <v>2</v>
      </c>
      <c r="F117" s="222" t="str">
        <f t="shared" si="20"/>
        <v>DEPENDENCIES-12</v>
      </c>
      <c r="G117" s="222">
        <f t="shared" si="21"/>
        <v>4</v>
      </c>
      <c r="H117" s="284">
        <f t="shared" ca="1" si="22"/>
        <v>0</v>
      </c>
      <c r="I117" s="284">
        <f t="shared" ca="1" si="23"/>
        <v>0</v>
      </c>
      <c r="J117" s="287" t="s">
        <v>293</v>
      </c>
      <c r="W117" s="278" t="str">
        <f ca="1">AB117&amp;"-"&amp;COUNTIF($AB$2:$AB117,$AB117)</f>
        <v>0-2-0-36</v>
      </c>
      <c r="X117" s="278" t="s">
        <v>293</v>
      </c>
      <c r="Y117" s="289">
        <f t="shared" ca="1" si="27"/>
        <v>0</v>
      </c>
      <c r="Z117" s="271">
        <v>2</v>
      </c>
      <c r="AA117" s="277">
        <f t="shared" ca="1" si="25"/>
        <v>0</v>
      </c>
      <c r="AB117" s="279" t="str">
        <f t="shared" ca="1" si="26"/>
        <v>0-2-0</v>
      </c>
    </row>
    <row r="118" spans="1:28" x14ac:dyDescent="0.25">
      <c r="A118" s="281" t="s">
        <v>77</v>
      </c>
      <c r="B118" s="281" t="s">
        <v>105</v>
      </c>
      <c r="C118" s="281" t="s">
        <v>294</v>
      </c>
      <c r="D118" s="281" t="s">
        <v>12</v>
      </c>
      <c r="E118" s="281">
        <v>2</v>
      </c>
      <c r="F118" s="222" t="str">
        <f t="shared" si="20"/>
        <v>DEPENDENCIES-12</v>
      </c>
      <c r="G118" s="222">
        <f t="shared" si="21"/>
        <v>4</v>
      </c>
      <c r="H118" s="284">
        <f t="shared" ca="1" si="22"/>
        <v>0</v>
      </c>
      <c r="I118" s="284">
        <f t="shared" ca="1" si="23"/>
        <v>0</v>
      </c>
      <c r="J118" s="287" t="s">
        <v>294</v>
      </c>
      <c r="W118" s="278" t="str">
        <f ca="1">AB118&amp;"-"&amp;COUNTIF($AB$2:$AB118,$AB118)</f>
        <v>0-2-0-37</v>
      </c>
      <c r="X118" s="278" t="s">
        <v>294</v>
      </c>
      <c r="Y118" s="289">
        <f t="shared" ca="1" si="27"/>
        <v>0</v>
      </c>
      <c r="Z118" s="271">
        <v>2</v>
      </c>
      <c r="AA118" s="277">
        <f t="shared" ca="1" si="25"/>
        <v>0</v>
      </c>
      <c r="AB118" s="279" t="str">
        <f t="shared" ca="1" si="26"/>
        <v>0-2-0</v>
      </c>
    </row>
    <row r="119" spans="1:28" x14ac:dyDescent="0.25">
      <c r="A119" s="281" t="s">
        <v>77</v>
      </c>
      <c r="B119" s="281" t="s">
        <v>105</v>
      </c>
      <c r="C119" s="281" t="s">
        <v>295</v>
      </c>
      <c r="D119" s="281" t="s">
        <v>13</v>
      </c>
      <c r="E119" s="281">
        <v>2</v>
      </c>
      <c r="F119" s="222" t="str">
        <f t="shared" si="20"/>
        <v>DEPENDENCIES-12</v>
      </c>
      <c r="G119" s="222">
        <f t="shared" si="21"/>
        <v>4</v>
      </c>
      <c r="H119" s="284">
        <f t="shared" ca="1" si="22"/>
        <v>0</v>
      </c>
      <c r="I119" s="284">
        <f t="shared" ca="1" si="23"/>
        <v>0</v>
      </c>
      <c r="J119" s="287" t="s">
        <v>295</v>
      </c>
      <c r="W119" s="278" t="str">
        <f ca="1">AB119&amp;"-"&amp;COUNTIF($AB$2:$AB119,$AB119)</f>
        <v>0-2-0-38</v>
      </c>
      <c r="X119" s="278" t="s">
        <v>295</v>
      </c>
      <c r="Y119" s="289">
        <f t="shared" ca="1" si="27"/>
        <v>0</v>
      </c>
      <c r="Z119" s="271">
        <v>2</v>
      </c>
      <c r="AA119" s="277">
        <f t="shared" ca="1" si="25"/>
        <v>0</v>
      </c>
      <c r="AB119" s="279" t="str">
        <f t="shared" ca="1" si="26"/>
        <v>0-2-0</v>
      </c>
    </row>
    <row r="120" spans="1:28" x14ac:dyDescent="0.25">
      <c r="A120" s="281" t="s">
        <v>77</v>
      </c>
      <c r="B120" s="281" t="s">
        <v>105</v>
      </c>
      <c r="C120" s="281" t="s">
        <v>296</v>
      </c>
      <c r="D120" s="281" t="s">
        <v>14</v>
      </c>
      <c r="E120" s="281">
        <v>3</v>
      </c>
      <c r="F120" s="222" t="str">
        <f t="shared" si="20"/>
        <v>DEPENDENCIES-13</v>
      </c>
      <c r="G120" s="222">
        <f t="shared" si="21"/>
        <v>1</v>
      </c>
      <c r="H120" s="284">
        <f t="shared" ca="1" si="22"/>
        <v>0</v>
      </c>
      <c r="I120" s="284">
        <f t="shared" ca="1" si="23"/>
        <v>0</v>
      </c>
      <c r="J120" s="287" t="s">
        <v>296</v>
      </c>
      <c r="W120" s="278" t="str">
        <f ca="1">AB120&amp;"-"&amp;COUNTIF($AB$2:$AB120,$AB120)</f>
        <v>0-3-0-28</v>
      </c>
      <c r="X120" s="278" t="s">
        <v>296</v>
      </c>
      <c r="Y120" s="289">
        <f t="shared" ca="1" si="27"/>
        <v>0</v>
      </c>
      <c r="Z120" s="271">
        <v>3</v>
      </c>
      <c r="AA120" s="277">
        <f t="shared" ca="1" si="25"/>
        <v>0</v>
      </c>
      <c r="AB120" s="279" t="str">
        <f t="shared" ca="1" si="26"/>
        <v>0-3-0</v>
      </c>
    </row>
    <row r="121" spans="1:28" x14ac:dyDescent="0.25">
      <c r="A121" s="281" t="s">
        <v>77</v>
      </c>
      <c r="B121" s="281" t="s">
        <v>107</v>
      </c>
      <c r="C121" s="281" t="s">
        <v>297</v>
      </c>
      <c r="D121" s="281" t="s">
        <v>20</v>
      </c>
      <c r="E121" s="281">
        <v>1</v>
      </c>
      <c r="F121" s="222" t="str">
        <f t="shared" si="20"/>
        <v>DEPENDENCIES-21</v>
      </c>
      <c r="G121" s="222">
        <f t="shared" si="21"/>
        <v>2</v>
      </c>
      <c r="H121" s="284">
        <f t="shared" ca="1" si="22"/>
        <v>0</v>
      </c>
      <c r="I121" s="284">
        <f t="shared" ca="1" si="23"/>
        <v>0</v>
      </c>
      <c r="J121" s="287" t="s">
        <v>297</v>
      </c>
      <c r="W121" s="278" t="str">
        <f ca="1">AB121&amp;"-"&amp;COUNTIF($AB$2:$AB121,$AB121)</f>
        <v>0-1-0-29</v>
      </c>
      <c r="X121" s="278" t="s">
        <v>297</v>
      </c>
      <c r="Y121" s="289">
        <f t="shared" ca="1" si="27"/>
        <v>0</v>
      </c>
      <c r="Z121" s="271">
        <v>1</v>
      </c>
      <c r="AA121" s="277">
        <f t="shared" ca="1" si="25"/>
        <v>0</v>
      </c>
      <c r="AB121" s="279" t="str">
        <f t="shared" ca="1" si="26"/>
        <v>0-1-0</v>
      </c>
    </row>
    <row r="122" spans="1:28" x14ac:dyDescent="0.25">
      <c r="A122" s="281" t="s">
        <v>77</v>
      </c>
      <c r="B122" s="281" t="s">
        <v>107</v>
      </c>
      <c r="C122" s="281" t="s">
        <v>298</v>
      </c>
      <c r="D122" s="281" t="s">
        <v>21</v>
      </c>
      <c r="E122" s="281">
        <v>1</v>
      </c>
      <c r="F122" s="222" t="str">
        <f t="shared" si="20"/>
        <v>DEPENDENCIES-21</v>
      </c>
      <c r="G122" s="222">
        <f t="shared" si="21"/>
        <v>2</v>
      </c>
      <c r="H122" s="284">
        <f t="shared" ca="1" si="22"/>
        <v>0</v>
      </c>
      <c r="I122" s="284">
        <f t="shared" ca="1" si="23"/>
        <v>0</v>
      </c>
      <c r="J122" s="287" t="s">
        <v>298</v>
      </c>
      <c r="W122" s="278" t="str">
        <f ca="1">AB122&amp;"-"&amp;COUNTIF($AB$2:$AB122,$AB122)</f>
        <v>0-1-0-30</v>
      </c>
      <c r="X122" s="278" t="s">
        <v>298</v>
      </c>
      <c r="Y122" s="289">
        <f t="shared" ca="1" si="27"/>
        <v>0</v>
      </c>
      <c r="Z122" s="271">
        <v>1</v>
      </c>
      <c r="AA122" s="277">
        <f t="shared" ca="1" si="25"/>
        <v>0</v>
      </c>
      <c r="AB122" s="279" t="str">
        <f t="shared" ca="1" si="26"/>
        <v>0-1-0</v>
      </c>
    </row>
    <row r="123" spans="1:28" x14ac:dyDescent="0.25">
      <c r="A123" s="281" t="s">
        <v>77</v>
      </c>
      <c r="B123" s="281" t="s">
        <v>107</v>
      </c>
      <c r="C123" s="281" t="s">
        <v>299</v>
      </c>
      <c r="D123" s="281" t="s">
        <v>22</v>
      </c>
      <c r="E123" s="281">
        <v>2</v>
      </c>
      <c r="F123" s="222" t="str">
        <f t="shared" si="20"/>
        <v>DEPENDENCIES-22</v>
      </c>
      <c r="G123" s="222">
        <f t="shared" si="21"/>
        <v>7</v>
      </c>
      <c r="H123" s="284">
        <f t="shared" ca="1" si="22"/>
        <v>0</v>
      </c>
      <c r="I123" s="284">
        <f t="shared" ca="1" si="23"/>
        <v>0</v>
      </c>
      <c r="J123" s="287" t="s">
        <v>299</v>
      </c>
      <c r="W123" s="278" t="str">
        <f ca="1">AB123&amp;"-"&amp;COUNTIF($AB$2:$AB123,$AB123)</f>
        <v>0-2-0-39</v>
      </c>
      <c r="X123" s="278" t="s">
        <v>299</v>
      </c>
      <c r="Y123" s="289">
        <f t="shared" ca="1" si="27"/>
        <v>0</v>
      </c>
      <c r="Z123" s="271">
        <v>2</v>
      </c>
      <c r="AA123" s="277">
        <f t="shared" ca="1" si="25"/>
        <v>0</v>
      </c>
      <c r="AB123" s="279" t="str">
        <f t="shared" ca="1" si="26"/>
        <v>0-2-0</v>
      </c>
    </row>
    <row r="124" spans="1:28" x14ac:dyDescent="0.25">
      <c r="A124" s="281" t="s">
        <v>77</v>
      </c>
      <c r="B124" s="281" t="s">
        <v>107</v>
      </c>
      <c r="C124" s="281" t="s">
        <v>300</v>
      </c>
      <c r="D124" s="281" t="s">
        <v>23</v>
      </c>
      <c r="E124" s="281">
        <v>2</v>
      </c>
      <c r="F124" s="222" t="str">
        <f t="shared" si="20"/>
        <v>DEPENDENCIES-22</v>
      </c>
      <c r="G124" s="222">
        <f t="shared" si="21"/>
        <v>7</v>
      </c>
      <c r="H124" s="284">
        <f t="shared" ca="1" si="22"/>
        <v>0</v>
      </c>
      <c r="I124" s="284">
        <f t="shared" ca="1" si="23"/>
        <v>0</v>
      </c>
      <c r="J124" s="287" t="s">
        <v>300</v>
      </c>
      <c r="W124" s="278" t="str">
        <f ca="1">AB124&amp;"-"&amp;COUNTIF($AB$2:$AB124,$AB124)</f>
        <v>0-2-0-40</v>
      </c>
      <c r="X124" s="278" t="s">
        <v>300</v>
      </c>
      <c r="Y124" s="289">
        <f t="shared" ca="1" si="27"/>
        <v>0</v>
      </c>
      <c r="Z124" s="271">
        <v>2</v>
      </c>
      <c r="AA124" s="277">
        <f t="shared" ca="1" si="25"/>
        <v>0</v>
      </c>
      <c r="AB124" s="279" t="str">
        <f t="shared" ca="1" si="26"/>
        <v>0-2-0</v>
      </c>
    </row>
    <row r="125" spans="1:28" x14ac:dyDescent="0.25">
      <c r="A125" s="281" t="s">
        <v>77</v>
      </c>
      <c r="B125" s="281" t="s">
        <v>107</v>
      </c>
      <c r="C125" s="281" t="s">
        <v>301</v>
      </c>
      <c r="D125" s="281" t="s">
        <v>24</v>
      </c>
      <c r="E125" s="281">
        <v>2</v>
      </c>
      <c r="F125" s="222" t="str">
        <f t="shared" si="20"/>
        <v>DEPENDENCIES-22</v>
      </c>
      <c r="G125" s="222">
        <f t="shared" si="21"/>
        <v>7</v>
      </c>
      <c r="H125" s="284">
        <f t="shared" ca="1" si="22"/>
        <v>0</v>
      </c>
      <c r="I125" s="284">
        <f t="shared" ca="1" si="23"/>
        <v>0</v>
      </c>
      <c r="J125" s="287" t="s">
        <v>301</v>
      </c>
      <c r="W125" s="278" t="str">
        <f ca="1">AB125&amp;"-"&amp;COUNTIF($AB$2:$AB125,$AB125)</f>
        <v>0-2-0-41</v>
      </c>
      <c r="X125" s="278" t="s">
        <v>301</v>
      </c>
      <c r="Y125" s="289">
        <f t="shared" ca="1" si="27"/>
        <v>0</v>
      </c>
      <c r="Z125" s="271">
        <v>2</v>
      </c>
      <c r="AA125" s="277">
        <f t="shared" ca="1" si="25"/>
        <v>0</v>
      </c>
      <c r="AB125" s="279" t="str">
        <f t="shared" ca="1" si="26"/>
        <v>0-2-0</v>
      </c>
    </row>
    <row r="126" spans="1:28" x14ac:dyDescent="0.25">
      <c r="A126" s="281" t="s">
        <v>77</v>
      </c>
      <c r="B126" s="281" t="s">
        <v>107</v>
      </c>
      <c r="C126" s="281" t="s">
        <v>302</v>
      </c>
      <c r="D126" s="281" t="s">
        <v>112</v>
      </c>
      <c r="E126" s="281">
        <v>2</v>
      </c>
      <c r="F126" s="222" t="str">
        <f t="shared" si="20"/>
        <v>DEPENDENCIES-22</v>
      </c>
      <c r="G126" s="222">
        <f t="shared" si="21"/>
        <v>7</v>
      </c>
      <c r="H126" s="284">
        <f t="shared" ca="1" si="22"/>
        <v>0</v>
      </c>
      <c r="I126" s="284">
        <f t="shared" ca="1" si="23"/>
        <v>0</v>
      </c>
      <c r="J126" s="287" t="s">
        <v>302</v>
      </c>
      <c r="W126" s="278" t="str">
        <f ca="1">AB126&amp;"-"&amp;COUNTIF($AB$2:$AB126,$AB126)</f>
        <v>0-2-0-42</v>
      </c>
      <c r="X126" s="278" t="s">
        <v>302</v>
      </c>
      <c r="Y126" s="289">
        <f t="shared" ca="1" si="27"/>
        <v>0</v>
      </c>
      <c r="Z126" s="271">
        <v>2</v>
      </c>
      <c r="AA126" s="277">
        <f t="shared" ca="1" si="25"/>
        <v>0</v>
      </c>
      <c r="AB126" s="279" t="str">
        <f t="shared" ca="1" si="26"/>
        <v>0-2-0</v>
      </c>
    </row>
    <row r="127" spans="1:28" x14ac:dyDescent="0.25">
      <c r="A127" s="281" t="s">
        <v>77</v>
      </c>
      <c r="B127" s="281" t="s">
        <v>107</v>
      </c>
      <c r="C127" s="281" t="s">
        <v>303</v>
      </c>
      <c r="D127" s="281" t="s">
        <v>176</v>
      </c>
      <c r="E127" s="281">
        <v>2</v>
      </c>
      <c r="F127" s="222" t="str">
        <f t="shared" si="20"/>
        <v>DEPENDENCIES-22</v>
      </c>
      <c r="G127" s="222">
        <f t="shared" si="21"/>
        <v>7</v>
      </c>
      <c r="H127" s="284">
        <f t="shared" ca="1" si="22"/>
        <v>0</v>
      </c>
      <c r="I127" s="284">
        <f t="shared" ca="1" si="23"/>
        <v>0</v>
      </c>
      <c r="J127" s="287" t="s">
        <v>303</v>
      </c>
      <c r="W127" s="278" t="str">
        <f ca="1">AB127&amp;"-"&amp;COUNTIF($AB$2:$AB127,$AB127)</f>
        <v>0-2-0-43</v>
      </c>
      <c r="X127" s="278" t="s">
        <v>303</v>
      </c>
      <c r="Y127" s="289">
        <f t="shared" ca="1" si="27"/>
        <v>0</v>
      </c>
      <c r="Z127" s="271">
        <v>2</v>
      </c>
      <c r="AA127" s="277">
        <f t="shared" ca="1" si="25"/>
        <v>0</v>
      </c>
      <c r="AB127" s="279" t="str">
        <f t="shared" ca="1" si="26"/>
        <v>0-2-0</v>
      </c>
    </row>
    <row r="128" spans="1:28" x14ac:dyDescent="0.25">
      <c r="A128" s="281" t="s">
        <v>77</v>
      </c>
      <c r="B128" s="281" t="s">
        <v>107</v>
      </c>
      <c r="C128" s="281" t="s">
        <v>304</v>
      </c>
      <c r="D128" s="281" t="s">
        <v>178</v>
      </c>
      <c r="E128" s="281">
        <v>2</v>
      </c>
      <c r="F128" s="222" t="str">
        <f t="shared" si="20"/>
        <v>DEPENDENCIES-22</v>
      </c>
      <c r="G128" s="222">
        <f t="shared" si="21"/>
        <v>7</v>
      </c>
      <c r="H128" s="284">
        <f t="shared" ca="1" si="22"/>
        <v>0</v>
      </c>
      <c r="I128" s="284">
        <f t="shared" ca="1" si="23"/>
        <v>0</v>
      </c>
      <c r="J128" s="287" t="s">
        <v>304</v>
      </c>
      <c r="W128" s="278" t="str">
        <f ca="1">AB128&amp;"-"&amp;COUNTIF($AB$2:$AB128,$AB128)</f>
        <v>0-2-0-44</v>
      </c>
      <c r="X128" s="278" t="s">
        <v>304</v>
      </c>
      <c r="Y128" s="289">
        <f t="shared" ca="1" si="27"/>
        <v>0</v>
      </c>
      <c r="Z128" s="271">
        <v>2</v>
      </c>
      <c r="AA128" s="277">
        <f t="shared" ca="1" si="25"/>
        <v>0</v>
      </c>
      <c r="AB128" s="279" t="str">
        <f t="shared" ca="1" si="26"/>
        <v>0-2-0</v>
      </c>
    </row>
    <row r="129" spans="1:28" x14ac:dyDescent="0.25">
      <c r="A129" s="281" t="s">
        <v>77</v>
      </c>
      <c r="B129" s="281" t="s">
        <v>107</v>
      </c>
      <c r="C129" s="281" t="s">
        <v>305</v>
      </c>
      <c r="D129" s="281" t="s">
        <v>209</v>
      </c>
      <c r="E129" s="281">
        <v>2</v>
      </c>
      <c r="F129" s="222" t="str">
        <f t="shared" si="20"/>
        <v>DEPENDENCIES-22</v>
      </c>
      <c r="G129" s="222">
        <f t="shared" si="21"/>
        <v>7</v>
      </c>
      <c r="H129" s="284">
        <f t="shared" ca="1" si="22"/>
        <v>0</v>
      </c>
      <c r="I129" s="284">
        <f t="shared" ca="1" si="23"/>
        <v>0</v>
      </c>
      <c r="J129" s="287" t="s">
        <v>305</v>
      </c>
      <c r="W129" s="278" t="str">
        <f ca="1">AB129&amp;"-"&amp;COUNTIF($AB$2:$AB129,$AB129)</f>
        <v>0-2-0-45</v>
      </c>
      <c r="X129" s="278" t="s">
        <v>305</v>
      </c>
      <c r="Y129" s="289">
        <f t="shared" ca="1" si="27"/>
        <v>0</v>
      </c>
      <c r="Z129" s="271">
        <v>2</v>
      </c>
      <c r="AA129" s="277">
        <f t="shared" ca="1" si="25"/>
        <v>0</v>
      </c>
      <c r="AB129" s="279" t="str">
        <f t="shared" ca="1" si="26"/>
        <v>0-2-0</v>
      </c>
    </row>
    <row r="130" spans="1:28" x14ac:dyDescent="0.25">
      <c r="A130" s="281" t="s">
        <v>77</v>
      </c>
      <c r="B130" s="281" t="s">
        <v>107</v>
      </c>
      <c r="C130" s="281" t="s">
        <v>306</v>
      </c>
      <c r="D130" s="281" t="s">
        <v>211</v>
      </c>
      <c r="E130" s="281">
        <v>3</v>
      </c>
      <c r="F130" s="222" t="str">
        <f t="shared" ref="F130:F194" si="28">CONCATENATE($B130,$E130)</f>
        <v>DEPENDENCIES-23</v>
      </c>
      <c r="G130" s="222">
        <f t="shared" ref="G130:G193" si="29">COUNTIF($F:$F,$F130)</f>
        <v>5</v>
      </c>
      <c r="H130" s="284">
        <f t="shared" ref="H130:H194" ca="1" si="30">INT(LEFT(
VLOOKUP($D130, INDIRECT("'"&amp;$A130&amp;"'!"&amp;"$D:$H"), 5,FALSE), 1)
)</f>
        <v>0</v>
      </c>
      <c r="I130" s="284">
        <f t="shared" ref="I130:I194" ca="1" si="31">IFERROR(IF(H130&gt;2,1,0),0)</f>
        <v>0</v>
      </c>
      <c r="J130" s="287" t="s">
        <v>306</v>
      </c>
      <c r="W130" s="278" t="str">
        <f ca="1">AB130&amp;"-"&amp;COUNTIF($AB$2:$AB130,$AB130)</f>
        <v>0-3-0-29</v>
      </c>
      <c r="X130" s="278" t="s">
        <v>306</v>
      </c>
      <c r="Y130" s="289">
        <f t="shared" ref="Y130:Y161" ca="1" si="32">VLOOKUP(LEFT($X130,LEN($X130)-1),$K:$O,5,FALSE)</f>
        <v>0</v>
      </c>
      <c r="Z130" s="271">
        <v>3</v>
      </c>
      <c r="AA130" s="277">
        <f t="shared" ref="AA130:AA193" ca="1" si="33">VLOOKUP(X130,C:I,7,FALSE)</f>
        <v>0</v>
      </c>
      <c r="AB130" s="279" t="str">
        <f t="shared" ca="1" si="26"/>
        <v>0-3-0</v>
      </c>
    </row>
    <row r="131" spans="1:28" x14ac:dyDescent="0.25">
      <c r="A131" s="281" t="s">
        <v>77</v>
      </c>
      <c r="B131" s="281" t="s">
        <v>107</v>
      </c>
      <c r="C131" s="281" t="s">
        <v>307</v>
      </c>
      <c r="D131" s="281" t="s">
        <v>213</v>
      </c>
      <c r="E131" s="281">
        <v>3</v>
      </c>
      <c r="F131" s="222" t="str">
        <f t="shared" si="28"/>
        <v>DEPENDENCIES-23</v>
      </c>
      <c r="G131" s="222">
        <f t="shared" si="29"/>
        <v>5</v>
      </c>
      <c r="H131" s="284">
        <f t="shared" ca="1" si="30"/>
        <v>0</v>
      </c>
      <c r="I131" s="284">
        <f t="shared" ca="1" si="31"/>
        <v>0</v>
      </c>
      <c r="J131" s="287" t="s">
        <v>307</v>
      </c>
      <c r="W131" s="278" t="str">
        <f ca="1">AB131&amp;"-"&amp;COUNTIF($AB$2:$AB131,$AB131)</f>
        <v>0-3-0-30</v>
      </c>
      <c r="X131" s="278" t="s">
        <v>307</v>
      </c>
      <c r="Y131" s="289">
        <f t="shared" ca="1" si="32"/>
        <v>0</v>
      </c>
      <c r="Z131" s="271">
        <v>3</v>
      </c>
      <c r="AA131" s="277">
        <f t="shared" ca="1" si="33"/>
        <v>0</v>
      </c>
      <c r="AB131" s="279" t="str">
        <f t="shared" ref="AB131:AB195" ca="1" si="34">Y131&amp;"-"&amp;Z131&amp;"-"&amp;AA131</f>
        <v>0-3-0</v>
      </c>
    </row>
    <row r="132" spans="1:28" x14ac:dyDescent="0.25">
      <c r="A132" s="281" t="s">
        <v>77</v>
      </c>
      <c r="B132" s="281" t="s">
        <v>107</v>
      </c>
      <c r="C132" s="281" t="s">
        <v>308</v>
      </c>
      <c r="D132" s="281" t="s">
        <v>215</v>
      </c>
      <c r="E132" s="281">
        <v>3</v>
      </c>
      <c r="F132" s="222" t="str">
        <f t="shared" si="28"/>
        <v>DEPENDENCIES-23</v>
      </c>
      <c r="G132" s="222">
        <f t="shared" si="29"/>
        <v>5</v>
      </c>
      <c r="H132" s="284">
        <f t="shared" ca="1" si="30"/>
        <v>0</v>
      </c>
      <c r="I132" s="284">
        <f t="shared" ca="1" si="31"/>
        <v>0</v>
      </c>
      <c r="J132" s="287" t="s">
        <v>308</v>
      </c>
      <c r="W132" s="278" t="str">
        <f ca="1">AB132&amp;"-"&amp;COUNTIF($AB$2:$AB132,$AB132)</f>
        <v>0-3-0-31</v>
      </c>
      <c r="X132" s="278" t="s">
        <v>308</v>
      </c>
      <c r="Y132" s="289">
        <f t="shared" ca="1" si="32"/>
        <v>0</v>
      </c>
      <c r="Z132" s="271">
        <v>3</v>
      </c>
      <c r="AA132" s="277">
        <f t="shared" ca="1" si="33"/>
        <v>0</v>
      </c>
      <c r="AB132" s="279" t="str">
        <f t="shared" ca="1" si="34"/>
        <v>0-3-0</v>
      </c>
    </row>
    <row r="133" spans="1:28" x14ac:dyDescent="0.25">
      <c r="A133" s="281" t="s">
        <v>77</v>
      </c>
      <c r="B133" s="281" t="s">
        <v>107</v>
      </c>
      <c r="C133" s="281" t="s">
        <v>309</v>
      </c>
      <c r="D133" s="281" t="s">
        <v>217</v>
      </c>
      <c r="E133" s="281">
        <v>3</v>
      </c>
      <c r="F133" s="222" t="str">
        <f t="shared" si="28"/>
        <v>DEPENDENCIES-23</v>
      </c>
      <c r="G133" s="222">
        <f t="shared" si="29"/>
        <v>5</v>
      </c>
      <c r="H133" s="284">
        <f t="shared" ca="1" si="30"/>
        <v>0</v>
      </c>
      <c r="I133" s="284">
        <f t="shared" ca="1" si="31"/>
        <v>0</v>
      </c>
      <c r="J133" s="287" t="s">
        <v>309</v>
      </c>
      <c r="W133" s="278" t="str">
        <f ca="1">AB133&amp;"-"&amp;COUNTIF($AB$2:$AB133,$AB133)</f>
        <v>0-3-0-32</v>
      </c>
      <c r="X133" s="278" t="s">
        <v>309</v>
      </c>
      <c r="Y133" s="289">
        <f t="shared" ca="1" si="32"/>
        <v>0</v>
      </c>
      <c r="Z133" s="271">
        <v>3</v>
      </c>
      <c r="AA133" s="277">
        <f t="shared" ca="1" si="33"/>
        <v>0</v>
      </c>
      <c r="AB133" s="279" t="str">
        <f t="shared" ca="1" si="34"/>
        <v>0-3-0</v>
      </c>
    </row>
    <row r="134" spans="1:28" x14ac:dyDescent="0.25">
      <c r="A134" s="281" t="s">
        <v>77</v>
      </c>
      <c r="B134" s="281" t="s">
        <v>107</v>
      </c>
      <c r="C134" s="281" t="s">
        <v>310</v>
      </c>
      <c r="D134" s="281" t="s">
        <v>311</v>
      </c>
      <c r="E134" s="281">
        <v>3</v>
      </c>
      <c r="F134" s="222" t="str">
        <f t="shared" si="28"/>
        <v>DEPENDENCIES-23</v>
      </c>
      <c r="G134" s="222">
        <f t="shared" si="29"/>
        <v>5</v>
      </c>
      <c r="H134" s="284">
        <f t="shared" ca="1" si="30"/>
        <v>0</v>
      </c>
      <c r="I134" s="284">
        <f t="shared" ca="1" si="31"/>
        <v>0</v>
      </c>
      <c r="J134" s="287" t="s">
        <v>310</v>
      </c>
      <c r="W134" s="278" t="str">
        <f ca="1">AB134&amp;"-"&amp;COUNTIF($AB$2:$AB134,$AB134)</f>
        <v>0-3-0-33</v>
      </c>
      <c r="X134" s="278" t="s">
        <v>310</v>
      </c>
      <c r="Y134" s="289">
        <f t="shared" ca="1" si="32"/>
        <v>0</v>
      </c>
      <c r="Z134" s="271">
        <v>3</v>
      </c>
      <c r="AA134" s="277">
        <f t="shared" ca="1" si="33"/>
        <v>0</v>
      </c>
      <c r="AB134" s="279" t="str">
        <f t="shared" ca="1" si="34"/>
        <v>0-3-0</v>
      </c>
    </row>
    <row r="135" spans="1:28" x14ac:dyDescent="0.25">
      <c r="A135" s="281" t="s">
        <v>77</v>
      </c>
      <c r="B135" s="281" t="s">
        <v>109</v>
      </c>
      <c r="C135" s="281" t="s">
        <v>312</v>
      </c>
      <c r="D135" s="281" t="s">
        <v>25</v>
      </c>
      <c r="E135" s="281">
        <v>2</v>
      </c>
      <c r="F135" s="222" t="str">
        <f t="shared" si="28"/>
        <v>DEPENDENCIES-32</v>
      </c>
      <c r="G135" s="222">
        <f t="shared" si="29"/>
        <v>4</v>
      </c>
      <c r="H135" s="284">
        <f t="shared" ca="1" si="30"/>
        <v>0</v>
      </c>
      <c r="I135" s="284">
        <f t="shared" ca="1" si="31"/>
        <v>0</v>
      </c>
      <c r="J135" s="287" t="s">
        <v>312</v>
      </c>
      <c r="W135" s="278" t="str">
        <f ca="1">AB135&amp;"-"&amp;COUNTIF($AB$2:$AB135,$AB135)</f>
        <v>1-2-0-15</v>
      </c>
      <c r="X135" s="278" t="s">
        <v>312</v>
      </c>
      <c r="Y135" s="289">
        <f t="shared" ca="1" si="32"/>
        <v>1</v>
      </c>
      <c r="Z135" s="271">
        <v>2</v>
      </c>
      <c r="AA135" s="277">
        <f t="shared" ca="1" si="33"/>
        <v>0</v>
      </c>
      <c r="AB135" s="279" t="str">
        <f t="shared" ca="1" si="34"/>
        <v>1-2-0</v>
      </c>
    </row>
    <row r="136" spans="1:28" x14ac:dyDescent="0.25">
      <c r="A136" s="281" t="s">
        <v>77</v>
      </c>
      <c r="B136" s="281" t="s">
        <v>109</v>
      </c>
      <c r="C136" s="281" t="s">
        <v>313</v>
      </c>
      <c r="D136" s="281" t="s">
        <v>26</v>
      </c>
      <c r="E136" s="281">
        <v>2</v>
      </c>
      <c r="F136" s="222" t="str">
        <f t="shared" si="28"/>
        <v>DEPENDENCIES-32</v>
      </c>
      <c r="G136" s="222">
        <f t="shared" si="29"/>
        <v>4</v>
      </c>
      <c r="H136" s="284">
        <f t="shared" ca="1" si="30"/>
        <v>0</v>
      </c>
      <c r="I136" s="284">
        <f t="shared" ca="1" si="31"/>
        <v>0</v>
      </c>
      <c r="J136" s="287" t="s">
        <v>313</v>
      </c>
      <c r="W136" s="278" t="str">
        <f ca="1">AB136&amp;"-"&amp;COUNTIF($AB$2:$AB136,$AB136)</f>
        <v>1-2-0-16</v>
      </c>
      <c r="X136" s="278" t="s">
        <v>313</v>
      </c>
      <c r="Y136" s="289">
        <f t="shared" ca="1" si="32"/>
        <v>1</v>
      </c>
      <c r="Z136" s="271">
        <v>2</v>
      </c>
      <c r="AA136" s="277">
        <f t="shared" ca="1" si="33"/>
        <v>0</v>
      </c>
      <c r="AB136" s="279" t="str">
        <f t="shared" ca="1" si="34"/>
        <v>1-2-0</v>
      </c>
    </row>
    <row r="137" spans="1:28" x14ac:dyDescent="0.25">
      <c r="A137" s="281" t="s">
        <v>77</v>
      </c>
      <c r="B137" s="281" t="s">
        <v>109</v>
      </c>
      <c r="C137" s="281" t="s">
        <v>314</v>
      </c>
      <c r="D137" s="281" t="s">
        <v>27</v>
      </c>
      <c r="E137" s="281">
        <v>2</v>
      </c>
      <c r="F137" s="222" t="str">
        <f t="shared" si="28"/>
        <v>DEPENDENCIES-32</v>
      </c>
      <c r="G137" s="222">
        <f t="shared" si="29"/>
        <v>4</v>
      </c>
      <c r="H137" s="284">
        <f t="shared" ca="1" si="30"/>
        <v>0</v>
      </c>
      <c r="I137" s="284">
        <f t="shared" ca="1" si="31"/>
        <v>0</v>
      </c>
      <c r="J137" s="287" t="s">
        <v>314</v>
      </c>
      <c r="W137" s="278" t="str">
        <f ca="1">AB137&amp;"-"&amp;COUNTIF($AB$2:$AB137,$AB137)</f>
        <v>1-2-0-17</v>
      </c>
      <c r="X137" s="278" t="s">
        <v>314</v>
      </c>
      <c r="Y137" s="289">
        <f t="shared" ca="1" si="32"/>
        <v>1</v>
      </c>
      <c r="Z137" s="271">
        <v>2</v>
      </c>
      <c r="AA137" s="277">
        <f t="shared" ca="1" si="33"/>
        <v>0</v>
      </c>
      <c r="AB137" s="279" t="str">
        <f t="shared" ca="1" si="34"/>
        <v>1-2-0</v>
      </c>
    </row>
    <row r="138" spans="1:28" x14ac:dyDescent="0.25">
      <c r="A138" s="281" t="s">
        <v>77</v>
      </c>
      <c r="B138" s="281" t="s">
        <v>109</v>
      </c>
      <c r="C138" s="281" t="s">
        <v>315</v>
      </c>
      <c r="D138" s="281" t="s">
        <v>28</v>
      </c>
      <c r="E138" s="281">
        <v>2</v>
      </c>
      <c r="F138" s="222" t="str">
        <f t="shared" si="28"/>
        <v>DEPENDENCIES-32</v>
      </c>
      <c r="G138" s="222">
        <f t="shared" si="29"/>
        <v>4</v>
      </c>
      <c r="H138" s="284">
        <f t="shared" ca="1" si="30"/>
        <v>0</v>
      </c>
      <c r="I138" s="284">
        <f t="shared" ca="1" si="31"/>
        <v>0</v>
      </c>
      <c r="J138" s="287" t="s">
        <v>315</v>
      </c>
      <c r="W138" s="278" t="str">
        <f ca="1">AB138&amp;"-"&amp;COUNTIF($AB$2:$AB138,$AB138)</f>
        <v>1-2-0-18</v>
      </c>
      <c r="X138" s="278" t="s">
        <v>315</v>
      </c>
      <c r="Y138" s="289">
        <f t="shared" ca="1" si="32"/>
        <v>1</v>
      </c>
      <c r="Z138" s="271">
        <v>2</v>
      </c>
      <c r="AA138" s="277">
        <f t="shared" ca="1" si="33"/>
        <v>0</v>
      </c>
      <c r="AB138" s="279" t="str">
        <f t="shared" ca="1" si="34"/>
        <v>1-2-0</v>
      </c>
    </row>
    <row r="139" spans="1:28" x14ac:dyDescent="0.25">
      <c r="A139" s="281" t="s">
        <v>77</v>
      </c>
      <c r="B139" s="281" t="s">
        <v>109</v>
      </c>
      <c r="C139" s="281" t="s">
        <v>316</v>
      </c>
      <c r="D139" s="281" t="s">
        <v>29</v>
      </c>
      <c r="E139" s="281">
        <v>3</v>
      </c>
      <c r="F139" s="222" t="str">
        <f t="shared" si="28"/>
        <v>DEPENDENCIES-33</v>
      </c>
      <c r="G139" s="222">
        <f t="shared" si="29"/>
        <v>3</v>
      </c>
      <c r="H139" s="284">
        <f t="shared" ca="1" si="30"/>
        <v>0</v>
      </c>
      <c r="I139" s="284">
        <f t="shared" ca="1" si="31"/>
        <v>0</v>
      </c>
      <c r="J139" s="287" t="s">
        <v>316</v>
      </c>
      <c r="W139" s="278" t="str">
        <f ca="1">AB139&amp;"-"&amp;COUNTIF($AB$2:$AB139,$AB139)</f>
        <v>1-3-0-12</v>
      </c>
      <c r="X139" s="278" t="s">
        <v>316</v>
      </c>
      <c r="Y139" s="289">
        <f t="shared" ca="1" si="32"/>
        <v>1</v>
      </c>
      <c r="Z139" s="271">
        <v>3</v>
      </c>
      <c r="AA139" s="277">
        <f t="shared" ca="1" si="33"/>
        <v>0</v>
      </c>
      <c r="AB139" s="279" t="str">
        <f t="shared" ca="1" si="34"/>
        <v>1-3-0</v>
      </c>
    </row>
    <row r="140" spans="1:28" x14ac:dyDescent="0.25">
      <c r="A140" s="281" t="s">
        <v>77</v>
      </c>
      <c r="B140" s="281" t="s">
        <v>109</v>
      </c>
      <c r="C140" s="281" t="s">
        <v>317</v>
      </c>
      <c r="D140" s="281" t="s">
        <v>30</v>
      </c>
      <c r="E140" s="281">
        <v>3</v>
      </c>
      <c r="F140" s="222" t="str">
        <f t="shared" si="28"/>
        <v>DEPENDENCIES-33</v>
      </c>
      <c r="G140" s="222">
        <f t="shared" si="29"/>
        <v>3</v>
      </c>
      <c r="H140" s="284">
        <f t="shared" ca="1" si="30"/>
        <v>0</v>
      </c>
      <c r="I140" s="284">
        <f t="shared" ca="1" si="31"/>
        <v>0</v>
      </c>
      <c r="J140" s="287" t="s">
        <v>317</v>
      </c>
      <c r="W140" s="278" t="str">
        <f ca="1">AB140&amp;"-"&amp;COUNTIF($AB$2:$AB140,$AB140)</f>
        <v>1-3-0-13</v>
      </c>
      <c r="X140" s="278" t="s">
        <v>317</v>
      </c>
      <c r="Y140" s="289">
        <f t="shared" ca="1" si="32"/>
        <v>1</v>
      </c>
      <c r="Z140" s="271">
        <v>3</v>
      </c>
      <c r="AA140" s="277">
        <f t="shared" ca="1" si="33"/>
        <v>0</v>
      </c>
      <c r="AB140" s="279" t="str">
        <f t="shared" ca="1" si="34"/>
        <v>1-3-0</v>
      </c>
    </row>
    <row r="141" spans="1:28" x14ac:dyDescent="0.25">
      <c r="A141" s="281" t="s">
        <v>77</v>
      </c>
      <c r="B141" s="281" t="s">
        <v>109</v>
      </c>
      <c r="C141" s="281" t="s">
        <v>318</v>
      </c>
      <c r="D141" s="281" t="s">
        <v>31</v>
      </c>
      <c r="E141" s="281">
        <v>3</v>
      </c>
      <c r="F141" s="222" t="str">
        <f t="shared" si="28"/>
        <v>DEPENDENCIES-33</v>
      </c>
      <c r="G141" s="222">
        <f t="shared" si="29"/>
        <v>3</v>
      </c>
      <c r="H141" s="284">
        <f t="shared" ca="1" si="30"/>
        <v>0</v>
      </c>
      <c r="I141" s="284">
        <f t="shared" ca="1" si="31"/>
        <v>0</v>
      </c>
      <c r="J141" s="287" t="s">
        <v>318</v>
      </c>
      <c r="W141" s="278" t="str">
        <f ca="1">AB141&amp;"-"&amp;COUNTIF($AB$2:$AB141,$AB141)</f>
        <v>1-3-0-14</v>
      </c>
      <c r="X141" s="278" t="s">
        <v>318</v>
      </c>
      <c r="Y141" s="289">
        <f t="shared" ca="1" si="32"/>
        <v>1</v>
      </c>
      <c r="Z141" s="271">
        <v>3</v>
      </c>
      <c r="AA141" s="277">
        <f t="shared" ca="1" si="33"/>
        <v>0</v>
      </c>
      <c r="AB141" s="279" t="str">
        <f t="shared" ca="1" si="34"/>
        <v>1-3-0</v>
      </c>
    </row>
    <row r="142" spans="1:28" x14ac:dyDescent="0.25">
      <c r="A142" s="281" t="s">
        <v>85</v>
      </c>
      <c r="B142" s="281" t="s">
        <v>141</v>
      </c>
      <c r="C142" s="281" t="s">
        <v>383</v>
      </c>
      <c r="D142" s="281" t="s">
        <v>7</v>
      </c>
      <c r="E142" s="281">
        <v>1</v>
      </c>
      <c r="F142" s="222" t="str">
        <f t="shared" si="28"/>
        <v>PROGRAM-11</v>
      </c>
      <c r="G142" s="222">
        <f t="shared" si="29"/>
        <v>1</v>
      </c>
      <c r="H142" s="284">
        <f t="shared" ca="1" si="30"/>
        <v>0</v>
      </c>
      <c r="I142" s="284">
        <f t="shared" ca="1" si="31"/>
        <v>0</v>
      </c>
      <c r="J142" s="287" t="s">
        <v>383</v>
      </c>
      <c r="W142" s="278" t="str">
        <f ca="1">AB142&amp;"-"&amp;COUNTIF($AB$2:$AB142,$AB142)</f>
        <v>0-1-0-31</v>
      </c>
      <c r="X142" s="278" t="s">
        <v>383</v>
      </c>
      <c r="Y142" s="289">
        <f t="shared" ca="1" si="32"/>
        <v>0</v>
      </c>
      <c r="Z142" s="271">
        <v>1</v>
      </c>
      <c r="AA142" s="277">
        <f t="shared" ca="1" si="33"/>
        <v>0</v>
      </c>
      <c r="AB142" s="279" t="str">
        <f t="shared" ca="1" si="34"/>
        <v>0-1-0</v>
      </c>
    </row>
    <row r="143" spans="1:28" x14ac:dyDescent="0.25">
      <c r="A143" s="281" t="s">
        <v>85</v>
      </c>
      <c r="B143" s="281" t="s">
        <v>141</v>
      </c>
      <c r="C143" s="281" t="s">
        <v>384</v>
      </c>
      <c r="D143" s="281" t="s">
        <v>9</v>
      </c>
      <c r="E143" s="281">
        <v>2</v>
      </c>
      <c r="F143" s="222" t="str">
        <f t="shared" si="28"/>
        <v>PROGRAM-12</v>
      </c>
      <c r="G143" s="222">
        <f t="shared" si="29"/>
        <v>6</v>
      </c>
      <c r="H143" s="284">
        <f t="shared" ca="1" si="30"/>
        <v>0</v>
      </c>
      <c r="I143" s="284">
        <f t="shared" ca="1" si="31"/>
        <v>0</v>
      </c>
      <c r="J143" s="287" t="s">
        <v>384</v>
      </c>
      <c r="W143" s="278" t="str">
        <f ca="1">AB143&amp;"-"&amp;COUNTIF($AB$2:$AB143,$AB143)</f>
        <v>0-2-0-46</v>
      </c>
      <c r="X143" s="278" t="s">
        <v>384</v>
      </c>
      <c r="Y143" s="289">
        <f t="shared" ca="1" si="32"/>
        <v>0</v>
      </c>
      <c r="Z143" s="271">
        <v>2</v>
      </c>
      <c r="AA143" s="277">
        <f t="shared" ca="1" si="33"/>
        <v>0</v>
      </c>
      <c r="AB143" s="279" t="str">
        <f t="shared" ca="1" si="34"/>
        <v>0-2-0</v>
      </c>
    </row>
    <row r="144" spans="1:28" x14ac:dyDescent="0.25">
      <c r="A144" s="281" t="s">
        <v>85</v>
      </c>
      <c r="B144" s="281" t="s">
        <v>141</v>
      </c>
      <c r="C144" s="281" t="s">
        <v>385</v>
      </c>
      <c r="D144" s="281" t="s">
        <v>10</v>
      </c>
      <c r="E144" s="281">
        <v>2</v>
      </c>
      <c r="F144" s="222" t="str">
        <f t="shared" si="28"/>
        <v>PROGRAM-12</v>
      </c>
      <c r="G144" s="222">
        <f t="shared" si="29"/>
        <v>6</v>
      </c>
      <c r="H144" s="284">
        <f t="shared" ca="1" si="30"/>
        <v>0</v>
      </c>
      <c r="I144" s="284">
        <f t="shared" ca="1" si="31"/>
        <v>0</v>
      </c>
      <c r="J144" s="287" t="s">
        <v>385</v>
      </c>
      <c r="W144" s="278" t="str">
        <f ca="1">AB144&amp;"-"&amp;COUNTIF($AB$2:$AB144,$AB144)</f>
        <v>0-2-0-47</v>
      </c>
      <c r="X144" s="278" t="s">
        <v>385</v>
      </c>
      <c r="Y144" s="289">
        <f t="shared" ca="1" si="32"/>
        <v>0</v>
      </c>
      <c r="Z144" s="271">
        <v>2</v>
      </c>
      <c r="AA144" s="277">
        <f t="shared" ca="1" si="33"/>
        <v>0</v>
      </c>
      <c r="AB144" s="279" t="str">
        <f t="shared" ca="1" si="34"/>
        <v>0-2-0</v>
      </c>
    </row>
    <row r="145" spans="1:28" x14ac:dyDescent="0.25">
      <c r="A145" s="281" t="s">
        <v>85</v>
      </c>
      <c r="B145" s="281" t="s">
        <v>141</v>
      </c>
      <c r="C145" s="281" t="s">
        <v>386</v>
      </c>
      <c r="D145" s="281" t="s">
        <v>11</v>
      </c>
      <c r="E145" s="281">
        <v>2</v>
      </c>
      <c r="F145" s="222" t="str">
        <f t="shared" si="28"/>
        <v>PROGRAM-12</v>
      </c>
      <c r="G145" s="222">
        <f t="shared" si="29"/>
        <v>6</v>
      </c>
      <c r="H145" s="284">
        <f t="shared" ca="1" si="30"/>
        <v>0</v>
      </c>
      <c r="I145" s="284">
        <f t="shared" ca="1" si="31"/>
        <v>0</v>
      </c>
      <c r="J145" s="287" t="s">
        <v>386</v>
      </c>
      <c r="W145" s="278" t="str">
        <f ca="1">AB145&amp;"-"&amp;COUNTIF($AB$2:$AB145,$AB145)</f>
        <v>0-2-0-48</v>
      </c>
      <c r="X145" s="278" t="s">
        <v>386</v>
      </c>
      <c r="Y145" s="289">
        <f t="shared" ca="1" si="32"/>
        <v>0</v>
      </c>
      <c r="Z145" s="271">
        <v>2</v>
      </c>
      <c r="AA145" s="277">
        <f t="shared" ca="1" si="33"/>
        <v>0</v>
      </c>
      <c r="AB145" s="279" t="str">
        <f t="shared" ca="1" si="34"/>
        <v>0-2-0</v>
      </c>
    </row>
    <row r="146" spans="1:28" x14ac:dyDescent="0.25">
      <c r="A146" s="281" t="s">
        <v>85</v>
      </c>
      <c r="B146" s="281" t="s">
        <v>141</v>
      </c>
      <c r="C146" s="281" t="s">
        <v>387</v>
      </c>
      <c r="D146" s="281" t="s">
        <v>12</v>
      </c>
      <c r="E146" s="281">
        <v>2</v>
      </c>
      <c r="F146" s="222" t="str">
        <f t="shared" si="28"/>
        <v>PROGRAM-12</v>
      </c>
      <c r="G146" s="222">
        <f t="shared" si="29"/>
        <v>6</v>
      </c>
      <c r="H146" s="284">
        <f t="shared" ca="1" si="30"/>
        <v>0</v>
      </c>
      <c r="I146" s="284">
        <f t="shared" ca="1" si="31"/>
        <v>0</v>
      </c>
      <c r="J146" s="287" t="s">
        <v>387</v>
      </c>
      <c r="W146" s="278" t="str">
        <f ca="1">AB146&amp;"-"&amp;COUNTIF($AB$2:$AB146,$AB146)</f>
        <v>0-2-0-49</v>
      </c>
      <c r="X146" s="278" t="s">
        <v>387</v>
      </c>
      <c r="Y146" s="289">
        <f t="shared" ca="1" si="32"/>
        <v>0</v>
      </c>
      <c r="Z146" s="271">
        <v>2</v>
      </c>
      <c r="AA146" s="277">
        <f t="shared" ca="1" si="33"/>
        <v>0</v>
      </c>
      <c r="AB146" s="279" t="str">
        <f t="shared" ca="1" si="34"/>
        <v>0-2-0</v>
      </c>
    </row>
    <row r="147" spans="1:28" x14ac:dyDescent="0.25">
      <c r="A147" s="281" t="s">
        <v>85</v>
      </c>
      <c r="B147" s="281" t="s">
        <v>141</v>
      </c>
      <c r="C147" s="281" t="s">
        <v>388</v>
      </c>
      <c r="D147" s="281" t="s">
        <v>13</v>
      </c>
      <c r="E147" s="281">
        <v>2</v>
      </c>
      <c r="F147" s="222" t="str">
        <f t="shared" si="28"/>
        <v>PROGRAM-12</v>
      </c>
      <c r="G147" s="222">
        <f t="shared" si="29"/>
        <v>6</v>
      </c>
      <c r="H147" s="284">
        <f t="shared" ca="1" si="30"/>
        <v>0</v>
      </c>
      <c r="I147" s="284">
        <f t="shared" ca="1" si="31"/>
        <v>0</v>
      </c>
      <c r="J147" s="287" t="s">
        <v>388</v>
      </c>
      <c r="W147" s="278" t="str">
        <f ca="1">AB147&amp;"-"&amp;COUNTIF($AB$2:$AB147,$AB147)</f>
        <v>0-2-0-50</v>
      </c>
      <c r="X147" s="278" t="s">
        <v>388</v>
      </c>
      <c r="Y147" s="289">
        <f t="shared" ca="1" si="32"/>
        <v>0</v>
      </c>
      <c r="Z147" s="271">
        <v>2</v>
      </c>
      <c r="AA147" s="277">
        <f t="shared" ca="1" si="33"/>
        <v>0</v>
      </c>
      <c r="AB147" s="279" t="str">
        <f t="shared" ca="1" si="34"/>
        <v>0-2-0</v>
      </c>
    </row>
    <row r="148" spans="1:28" x14ac:dyDescent="0.25">
      <c r="A148" s="281" t="s">
        <v>85</v>
      </c>
      <c r="B148" s="281" t="s">
        <v>141</v>
      </c>
      <c r="C148" s="281" t="s">
        <v>389</v>
      </c>
      <c r="D148" s="281" t="s">
        <v>14</v>
      </c>
      <c r="E148" s="281">
        <v>2</v>
      </c>
      <c r="F148" s="222" t="str">
        <f t="shared" si="28"/>
        <v>PROGRAM-12</v>
      </c>
      <c r="G148" s="222">
        <f t="shared" si="29"/>
        <v>6</v>
      </c>
      <c r="H148" s="284">
        <f t="shared" ca="1" si="30"/>
        <v>0</v>
      </c>
      <c r="I148" s="284">
        <f t="shared" ca="1" si="31"/>
        <v>0</v>
      </c>
      <c r="J148" s="287" t="s">
        <v>389</v>
      </c>
      <c r="W148" s="278" t="str">
        <f ca="1">AB148&amp;"-"&amp;COUNTIF($AB$2:$AB148,$AB148)</f>
        <v>0-2-0-51</v>
      </c>
      <c r="X148" s="278" t="s">
        <v>389</v>
      </c>
      <c r="Y148" s="289">
        <f t="shared" ca="1" si="32"/>
        <v>0</v>
      </c>
      <c r="Z148" s="271">
        <v>2</v>
      </c>
      <c r="AA148" s="277">
        <f t="shared" ca="1" si="33"/>
        <v>0</v>
      </c>
      <c r="AB148" s="279" t="str">
        <f t="shared" ca="1" si="34"/>
        <v>0-2-0</v>
      </c>
    </row>
    <row r="149" spans="1:28" x14ac:dyDescent="0.25">
      <c r="A149" s="281" t="s">
        <v>85</v>
      </c>
      <c r="B149" s="281" t="s">
        <v>141</v>
      </c>
      <c r="C149" s="281" t="s">
        <v>390</v>
      </c>
      <c r="D149" s="281" t="s">
        <v>15</v>
      </c>
      <c r="E149" s="281">
        <v>3</v>
      </c>
      <c r="F149" s="222" t="str">
        <f t="shared" si="28"/>
        <v>PROGRAM-13</v>
      </c>
      <c r="G149" s="222">
        <f t="shared" si="29"/>
        <v>1</v>
      </c>
      <c r="H149" s="284">
        <f t="shared" ca="1" si="30"/>
        <v>0</v>
      </c>
      <c r="I149" s="284">
        <f t="shared" ca="1" si="31"/>
        <v>0</v>
      </c>
      <c r="J149" s="287" t="s">
        <v>390</v>
      </c>
      <c r="W149" s="278" t="str">
        <f ca="1">AB149&amp;"-"&amp;COUNTIF($AB$2:$AB149,$AB149)</f>
        <v>0-3-0-34</v>
      </c>
      <c r="X149" s="278" t="s">
        <v>390</v>
      </c>
      <c r="Y149" s="289">
        <f t="shared" ca="1" si="32"/>
        <v>0</v>
      </c>
      <c r="Z149" s="271">
        <v>3</v>
      </c>
      <c r="AA149" s="277">
        <f t="shared" ca="1" si="33"/>
        <v>0</v>
      </c>
      <c r="AB149" s="279" t="str">
        <f t="shared" ca="1" si="34"/>
        <v>0-3-0</v>
      </c>
    </row>
    <row r="150" spans="1:28" x14ac:dyDescent="0.25">
      <c r="A150" s="281" t="s">
        <v>85</v>
      </c>
      <c r="B150" s="281" t="s">
        <v>144</v>
      </c>
      <c r="C150" s="281" t="s">
        <v>391</v>
      </c>
      <c r="D150" s="281" t="s">
        <v>20</v>
      </c>
      <c r="E150" s="281">
        <v>1</v>
      </c>
      <c r="F150" s="222" t="str">
        <f t="shared" si="28"/>
        <v>PROGRAM-21</v>
      </c>
      <c r="G150" s="222">
        <f t="shared" si="29"/>
        <v>2</v>
      </c>
      <c r="H150" s="284">
        <f t="shared" ca="1" si="30"/>
        <v>0</v>
      </c>
      <c r="I150" s="284">
        <f t="shared" ca="1" si="31"/>
        <v>0</v>
      </c>
      <c r="J150" s="287" t="s">
        <v>391</v>
      </c>
      <c r="W150" s="278" t="str">
        <f ca="1">AB150&amp;"-"&amp;COUNTIF($AB$2:$AB150,$AB150)</f>
        <v>0-1-0-32</v>
      </c>
      <c r="X150" s="278" t="s">
        <v>391</v>
      </c>
      <c r="Y150" s="289">
        <f t="shared" ca="1" si="32"/>
        <v>0</v>
      </c>
      <c r="Z150" s="271">
        <v>1</v>
      </c>
      <c r="AA150" s="277">
        <f t="shared" ca="1" si="33"/>
        <v>0</v>
      </c>
      <c r="AB150" s="279" t="str">
        <f t="shared" ca="1" si="34"/>
        <v>0-1-0</v>
      </c>
    </row>
    <row r="151" spans="1:28" x14ac:dyDescent="0.25">
      <c r="A151" s="281" t="s">
        <v>85</v>
      </c>
      <c r="B151" s="281" t="s">
        <v>144</v>
      </c>
      <c r="C151" s="281" t="s">
        <v>392</v>
      </c>
      <c r="D151" s="281" t="s">
        <v>21</v>
      </c>
      <c r="E151" s="281">
        <v>1</v>
      </c>
      <c r="F151" s="222" t="str">
        <f t="shared" si="28"/>
        <v>PROGRAM-21</v>
      </c>
      <c r="G151" s="222">
        <f t="shared" si="29"/>
        <v>2</v>
      </c>
      <c r="H151" s="284">
        <f t="shared" ca="1" si="30"/>
        <v>0</v>
      </c>
      <c r="I151" s="284">
        <f t="shared" ca="1" si="31"/>
        <v>0</v>
      </c>
      <c r="J151" s="287" t="s">
        <v>392</v>
      </c>
      <c r="W151" s="278" t="str">
        <f ca="1">AB151&amp;"-"&amp;COUNTIF($AB$2:$AB151,$AB151)</f>
        <v>0-1-0-33</v>
      </c>
      <c r="X151" s="278" t="s">
        <v>392</v>
      </c>
      <c r="Y151" s="289">
        <f t="shared" ca="1" si="32"/>
        <v>0</v>
      </c>
      <c r="Z151" s="271">
        <v>1</v>
      </c>
      <c r="AA151" s="277">
        <f t="shared" ca="1" si="33"/>
        <v>0</v>
      </c>
      <c r="AB151" s="279" t="str">
        <f t="shared" ca="1" si="34"/>
        <v>0-1-0</v>
      </c>
    </row>
    <row r="152" spans="1:28" x14ac:dyDescent="0.25">
      <c r="A152" s="281" t="s">
        <v>85</v>
      </c>
      <c r="B152" s="281" t="s">
        <v>144</v>
      </c>
      <c r="C152" s="281" t="s">
        <v>393</v>
      </c>
      <c r="D152" s="281" t="s">
        <v>22</v>
      </c>
      <c r="E152" s="281">
        <v>2</v>
      </c>
      <c r="F152" s="222" t="str">
        <f t="shared" si="28"/>
        <v>PROGRAM-22</v>
      </c>
      <c r="G152" s="222">
        <f t="shared" si="29"/>
        <v>6</v>
      </c>
      <c r="H152" s="284">
        <f t="shared" ca="1" si="30"/>
        <v>0</v>
      </c>
      <c r="I152" s="284">
        <f t="shared" ca="1" si="31"/>
        <v>0</v>
      </c>
      <c r="J152" s="287" t="s">
        <v>393</v>
      </c>
      <c r="W152" s="278" t="str">
        <f ca="1">AB152&amp;"-"&amp;COUNTIF($AB$2:$AB152,$AB152)</f>
        <v>0-2-0-52</v>
      </c>
      <c r="X152" s="278" t="s">
        <v>393</v>
      </c>
      <c r="Y152" s="289">
        <f t="shared" ca="1" si="32"/>
        <v>0</v>
      </c>
      <c r="Z152" s="271">
        <v>2</v>
      </c>
      <c r="AA152" s="277">
        <f t="shared" ca="1" si="33"/>
        <v>0</v>
      </c>
      <c r="AB152" s="279" t="str">
        <f t="shared" ca="1" si="34"/>
        <v>0-2-0</v>
      </c>
    </row>
    <row r="153" spans="1:28" x14ac:dyDescent="0.25">
      <c r="A153" s="281" t="s">
        <v>85</v>
      </c>
      <c r="B153" s="281" t="s">
        <v>144</v>
      </c>
      <c r="C153" s="281" t="s">
        <v>394</v>
      </c>
      <c r="D153" s="281" t="s">
        <v>23</v>
      </c>
      <c r="E153" s="281">
        <v>2</v>
      </c>
      <c r="F153" s="222" t="str">
        <f t="shared" si="28"/>
        <v>PROGRAM-22</v>
      </c>
      <c r="G153" s="222">
        <f t="shared" si="29"/>
        <v>6</v>
      </c>
      <c r="H153" s="284">
        <f t="shared" ca="1" si="30"/>
        <v>0</v>
      </c>
      <c r="I153" s="284">
        <f t="shared" ca="1" si="31"/>
        <v>0</v>
      </c>
      <c r="J153" s="287" t="s">
        <v>394</v>
      </c>
      <c r="W153" s="278" t="str">
        <f ca="1">AB153&amp;"-"&amp;COUNTIF($AB$2:$AB153,$AB153)</f>
        <v>0-2-0-53</v>
      </c>
      <c r="X153" s="278" t="s">
        <v>394</v>
      </c>
      <c r="Y153" s="289">
        <f t="shared" ca="1" si="32"/>
        <v>0</v>
      </c>
      <c r="Z153" s="271">
        <v>2</v>
      </c>
      <c r="AA153" s="277">
        <f t="shared" ca="1" si="33"/>
        <v>0</v>
      </c>
      <c r="AB153" s="279" t="str">
        <f t="shared" ca="1" si="34"/>
        <v>0-2-0</v>
      </c>
    </row>
    <row r="154" spans="1:28" x14ac:dyDescent="0.25">
      <c r="A154" s="281" t="s">
        <v>85</v>
      </c>
      <c r="B154" s="281" t="s">
        <v>144</v>
      </c>
      <c r="C154" s="281" t="s">
        <v>395</v>
      </c>
      <c r="D154" s="281" t="s">
        <v>24</v>
      </c>
      <c r="E154" s="281">
        <v>2</v>
      </c>
      <c r="F154" s="222" t="str">
        <f t="shared" si="28"/>
        <v>PROGRAM-22</v>
      </c>
      <c r="G154" s="222">
        <f t="shared" si="29"/>
        <v>6</v>
      </c>
      <c r="H154" s="284">
        <f t="shared" ca="1" si="30"/>
        <v>0</v>
      </c>
      <c r="I154" s="284">
        <f t="shared" ca="1" si="31"/>
        <v>0</v>
      </c>
      <c r="J154" s="287" t="s">
        <v>395</v>
      </c>
      <c r="W154" s="278" t="str">
        <f ca="1">AB154&amp;"-"&amp;COUNTIF($AB$2:$AB154,$AB154)</f>
        <v>0-2-0-54</v>
      </c>
      <c r="X154" s="278" t="s">
        <v>395</v>
      </c>
      <c r="Y154" s="289">
        <f t="shared" ca="1" si="32"/>
        <v>0</v>
      </c>
      <c r="Z154" s="271">
        <v>2</v>
      </c>
      <c r="AA154" s="277">
        <f t="shared" ca="1" si="33"/>
        <v>0</v>
      </c>
      <c r="AB154" s="279" t="str">
        <f t="shared" ca="1" si="34"/>
        <v>0-2-0</v>
      </c>
    </row>
    <row r="155" spans="1:28" x14ac:dyDescent="0.25">
      <c r="A155" s="281" t="s">
        <v>85</v>
      </c>
      <c r="B155" s="281" t="s">
        <v>144</v>
      </c>
      <c r="C155" s="281" t="s">
        <v>396</v>
      </c>
      <c r="D155" s="281" t="s">
        <v>112</v>
      </c>
      <c r="E155" s="281">
        <v>2</v>
      </c>
      <c r="F155" s="222" t="str">
        <f t="shared" si="28"/>
        <v>PROGRAM-22</v>
      </c>
      <c r="G155" s="222">
        <f t="shared" si="29"/>
        <v>6</v>
      </c>
      <c r="H155" s="284">
        <f t="shared" ca="1" si="30"/>
        <v>0</v>
      </c>
      <c r="I155" s="284">
        <f t="shared" ca="1" si="31"/>
        <v>0</v>
      </c>
      <c r="J155" s="287" t="s">
        <v>396</v>
      </c>
      <c r="W155" s="278" t="str">
        <f ca="1">AB155&amp;"-"&amp;COUNTIF($AB$2:$AB155,$AB155)</f>
        <v>0-2-0-55</v>
      </c>
      <c r="X155" s="278" t="s">
        <v>396</v>
      </c>
      <c r="Y155" s="289">
        <f t="shared" ca="1" si="32"/>
        <v>0</v>
      </c>
      <c r="Z155" s="271">
        <v>2</v>
      </c>
      <c r="AA155" s="277">
        <f t="shared" ca="1" si="33"/>
        <v>0</v>
      </c>
      <c r="AB155" s="279" t="str">
        <f t="shared" ca="1" si="34"/>
        <v>0-2-0</v>
      </c>
    </row>
    <row r="156" spans="1:28" x14ac:dyDescent="0.25">
      <c r="A156" s="281" t="s">
        <v>85</v>
      </c>
      <c r="B156" s="281" t="s">
        <v>144</v>
      </c>
      <c r="C156" s="281" t="s">
        <v>397</v>
      </c>
      <c r="D156" s="281" t="s">
        <v>176</v>
      </c>
      <c r="E156" s="281">
        <v>2</v>
      </c>
      <c r="F156" s="222" t="str">
        <f t="shared" si="28"/>
        <v>PROGRAM-22</v>
      </c>
      <c r="G156" s="222">
        <f t="shared" si="29"/>
        <v>6</v>
      </c>
      <c r="H156" s="284">
        <f t="shared" ca="1" si="30"/>
        <v>0</v>
      </c>
      <c r="I156" s="284">
        <f t="shared" ca="1" si="31"/>
        <v>0</v>
      </c>
      <c r="J156" s="287" t="s">
        <v>397</v>
      </c>
      <c r="W156" s="278" t="str">
        <f ca="1">AB156&amp;"-"&amp;COUNTIF($AB$2:$AB156,$AB156)</f>
        <v>0-2-0-56</v>
      </c>
      <c r="X156" s="278" t="s">
        <v>397</v>
      </c>
      <c r="Y156" s="289">
        <f t="shared" ca="1" si="32"/>
        <v>0</v>
      </c>
      <c r="Z156" s="271">
        <v>2</v>
      </c>
      <c r="AA156" s="277">
        <f t="shared" ca="1" si="33"/>
        <v>0</v>
      </c>
      <c r="AB156" s="279" t="str">
        <f t="shared" ca="1" si="34"/>
        <v>0-2-0</v>
      </c>
    </row>
    <row r="157" spans="1:28" x14ac:dyDescent="0.25">
      <c r="A157" s="281" t="s">
        <v>85</v>
      </c>
      <c r="B157" s="281" t="s">
        <v>144</v>
      </c>
      <c r="C157" s="281" t="s">
        <v>398</v>
      </c>
      <c r="D157" s="281" t="s">
        <v>178</v>
      </c>
      <c r="E157" s="281">
        <v>2</v>
      </c>
      <c r="F157" s="222" t="str">
        <f t="shared" si="28"/>
        <v>PROGRAM-22</v>
      </c>
      <c r="G157" s="222">
        <f t="shared" si="29"/>
        <v>6</v>
      </c>
      <c r="H157" s="284">
        <f t="shared" ca="1" si="30"/>
        <v>0</v>
      </c>
      <c r="I157" s="284">
        <f t="shared" ca="1" si="31"/>
        <v>0</v>
      </c>
      <c r="J157" s="287" t="s">
        <v>398</v>
      </c>
      <c r="W157" s="278" t="str">
        <f ca="1">AB157&amp;"-"&amp;COUNTIF($AB$2:$AB157,$AB157)</f>
        <v>0-2-0-57</v>
      </c>
      <c r="X157" s="278" t="s">
        <v>398</v>
      </c>
      <c r="Y157" s="289">
        <f t="shared" ca="1" si="32"/>
        <v>0</v>
      </c>
      <c r="Z157" s="271">
        <v>2</v>
      </c>
      <c r="AA157" s="277">
        <f t="shared" ca="1" si="33"/>
        <v>0</v>
      </c>
      <c r="AB157" s="279" t="str">
        <f t="shared" ca="1" si="34"/>
        <v>0-2-0</v>
      </c>
    </row>
    <row r="158" spans="1:28" x14ac:dyDescent="0.25">
      <c r="A158" s="281" t="s">
        <v>85</v>
      </c>
      <c r="B158" s="281" t="s">
        <v>144</v>
      </c>
      <c r="C158" s="281" t="s">
        <v>399</v>
      </c>
      <c r="D158" s="281" t="s">
        <v>209</v>
      </c>
      <c r="E158" s="281">
        <v>3</v>
      </c>
      <c r="F158" s="222" t="str">
        <f t="shared" si="28"/>
        <v>PROGRAM-23</v>
      </c>
      <c r="G158" s="222">
        <f t="shared" si="29"/>
        <v>4</v>
      </c>
      <c r="H158" s="284">
        <f t="shared" ca="1" si="30"/>
        <v>0</v>
      </c>
      <c r="I158" s="284">
        <f t="shared" ca="1" si="31"/>
        <v>0</v>
      </c>
      <c r="J158" s="287" t="s">
        <v>399</v>
      </c>
      <c r="W158" s="278" t="str">
        <f ca="1">AB158&amp;"-"&amp;COUNTIF($AB$2:$AB158,$AB158)</f>
        <v>0-3-0-35</v>
      </c>
      <c r="X158" s="278" t="s">
        <v>399</v>
      </c>
      <c r="Y158" s="289">
        <f t="shared" ca="1" si="32"/>
        <v>0</v>
      </c>
      <c r="Z158" s="271">
        <v>3</v>
      </c>
      <c r="AA158" s="277">
        <f t="shared" ca="1" si="33"/>
        <v>0</v>
      </c>
      <c r="AB158" s="279" t="str">
        <f t="shared" ca="1" si="34"/>
        <v>0-3-0</v>
      </c>
    </row>
    <row r="159" spans="1:28" x14ac:dyDescent="0.25">
      <c r="A159" s="281" t="s">
        <v>85</v>
      </c>
      <c r="B159" s="281" t="s">
        <v>144</v>
      </c>
      <c r="C159" s="281" t="s">
        <v>400</v>
      </c>
      <c r="D159" s="281" t="s">
        <v>211</v>
      </c>
      <c r="E159" s="281">
        <v>3</v>
      </c>
      <c r="F159" s="222" t="str">
        <f t="shared" si="28"/>
        <v>PROGRAM-23</v>
      </c>
      <c r="G159" s="222">
        <f t="shared" si="29"/>
        <v>4</v>
      </c>
      <c r="H159" s="284">
        <f t="shared" ca="1" si="30"/>
        <v>0</v>
      </c>
      <c r="I159" s="284">
        <f t="shared" ca="1" si="31"/>
        <v>0</v>
      </c>
      <c r="J159" s="287" t="s">
        <v>400</v>
      </c>
      <c r="W159" s="278" t="str">
        <f ca="1">AB159&amp;"-"&amp;COUNTIF($AB$2:$AB159,$AB159)</f>
        <v>0-3-0-36</v>
      </c>
      <c r="X159" s="278" t="s">
        <v>400</v>
      </c>
      <c r="Y159" s="289">
        <f t="shared" ca="1" si="32"/>
        <v>0</v>
      </c>
      <c r="Z159" s="271">
        <v>3</v>
      </c>
      <c r="AA159" s="277">
        <f t="shared" ca="1" si="33"/>
        <v>0</v>
      </c>
      <c r="AB159" s="279" t="str">
        <f t="shared" ca="1" si="34"/>
        <v>0-3-0</v>
      </c>
    </row>
    <row r="160" spans="1:28" x14ac:dyDescent="0.25">
      <c r="A160" s="281" t="s">
        <v>85</v>
      </c>
      <c r="B160" s="281" t="s">
        <v>144</v>
      </c>
      <c r="C160" s="281" t="s">
        <v>401</v>
      </c>
      <c r="D160" s="281" t="s">
        <v>213</v>
      </c>
      <c r="E160" s="281">
        <v>3</v>
      </c>
      <c r="F160" s="222" t="str">
        <f t="shared" si="28"/>
        <v>PROGRAM-23</v>
      </c>
      <c r="G160" s="222">
        <f t="shared" si="29"/>
        <v>4</v>
      </c>
      <c r="H160" s="284">
        <f t="shared" ca="1" si="30"/>
        <v>0</v>
      </c>
      <c r="I160" s="284">
        <f t="shared" ca="1" si="31"/>
        <v>0</v>
      </c>
      <c r="J160" s="287" t="s">
        <v>401</v>
      </c>
      <c r="W160" s="278" t="str">
        <f ca="1">AB160&amp;"-"&amp;COUNTIF($AB$2:$AB160,$AB160)</f>
        <v>0-3-0-37</v>
      </c>
      <c r="X160" s="278" t="s">
        <v>401</v>
      </c>
      <c r="Y160" s="289">
        <f t="shared" ca="1" si="32"/>
        <v>0</v>
      </c>
      <c r="Z160" s="271">
        <v>3</v>
      </c>
      <c r="AA160" s="277">
        <f t="shared" ca="1" si="33"/>
        <v>0</v>
      </c>
      <c r="AB160" s="279" t="str">
        <f t="shared" ca="1" si="34"/>
        <v>0-3-0</v>
      </c>
    </row>
    <row r="161" spans="1:28" x14ac:dyDescent="0.25">
      <c r="A161" s="281" t="s">
        <v>85</v>
      </c>
      <c r="B161" s="281" t="s">
        <v>144</v>
      </c>
      <c r="C161" s="281" t="s">
        <v>402</v>
      </c>
      <c r="D161" s="281" t="s">
        <v>215</v>
      </c>
      <c r="E161" s="281">
        <v>3</v>
      </c>
      <c r="F161" s="222" t="str">
        <f t="shared" si="28"/>
        <v>PROGRAM-23</v>
      </c>
      <c r="G161" s="222">
        <f t="shared" si="29"/>
        <v>4</v>
      </c>
      <c r="H161" s="284">
        <f t="shared" ca="1" si="30"/>
        <v>0</v>
      </c>
      <c r="I161" s="284">
        <f t="shared" ca="1" si="31"/>
        <v>0</v>
      </c>
      <c r="J161" s="287" t="s">
        <v>402</v>
      </c>
      <c r="W161" s="278" t="str">
        <f ca="1">AB161&amp;"-"&amp;COUNTIF($AB$2:$AB161,$AB161)</f>
        <v>0-3-0-38</v>
      </c>
      <c r="X161" s="278" t="s">
        <v>402</v>
      </c>
      <c r="Y161" s="289">
        <f t="shared" ca="1" si="32"/>
        <v>0</v>
      </c>
      <c r="Z161" s="271">
        <v>3</v>
      </c>
      <c r="AA161" s="277">
        <f t="shared" ca="1" si="33"/>
        <v>0</v>
      </c>
      <c r="AB161" s="279" t="str">
        <f t="shared" ca="1" si="34"/>
        <v>0-3-0</v>
      </c>
    </row>
    <row r="162" spans="1:28" x14ac:dyDescent="0.25">
      <c r="A162" s="281" t="s">
        <v>85</v>
      </c>
      <c r="B162" s="281" t="s">
        <v>147</v>
      </c>
      <c r="C162" s="281" t="s">
        <v>403</v>
      </c>
      <c r="D162" s="281" t="s">
        <v>25</v>
      </c>
      <c r="E162" s="281">
        <v>1</v>
      </c>
      <c r="F162" s="222" t="str">
        <f t="shared" si="28"/>
        <v>PROGRAM-31</v>
      </c>
      <c r="G162" s="222">
        <f t="shared" si="29"/>
        <v>2</v>
      </c>
      <c r="H162" s="284">
        <f t="shared" ca="1" si="30"/>
        <v>0</v>
      </c>
      <c r="I162" s="284">
        <f t="shared" ca="1" si="31"/>
        <v>0</v>
      </c>
      <c r="J162" s="287" t="s">
        <v>403</v>
      </c>
      <c r="W162" s="278" t="str">
        <f ca="1">AB162&amp;"-"&amp;COUNTIF($AB$2:$AB162,$AB162)</f>
        <v>0-1-0-34</v>
      </c>
      <c r="X162" s="278" t="s">
        <v>403</v>
      </c>
      <c r="Y162" s="289">
        <f t="shared" ref="Y162:Y180" ca="1" si="35">VLOOKUP(LEFT($X162,LEN($X162)-1),$K:$O,5,FALSE)</f>
        <v>0</v>
      </c>
      <c r="Z162" s="271">
        <v>1</v>
      </c>
      <c r="AA162" s="277">
        <f t="shared" ca="1" si="33"/>
        <v>0</v>
      </c>
      <c r="AB162" s="279" t="str">
        <f t="shared" ca="1" si="34"/>
        <v>0-1-0</v>
      </c>
    </row>
    <row r="163" spans="1:28" x14ac:dyDescent="0.25">
      <c r="A163" s="281" t="s">
        <v>85</v>
      </c>
      <c r="B163" s="281" t="s">
        <v>147</v>
      </c>
      <c r="C163" s="281" t="s">
        <v>404</v>
      </c>
      <c r="D163" s="281" t="s">
        <v>26</v>
      </c>
      <c r="E163" s="281">
        <v>1</v>
      </c>
      <c r="F163" s="222" t="str">
        <f t="shared" si="28"/>
        <v>PROGRAM-31</v>
      </c>
      <c r="G163" s="222">
        <f t="shared" si="29"/>
        <v>2</v>
      </c>
      <c r="H163" s="284">
        <f t="shared" ca="1" si="30"/>
        <v>0</v>
      </c>
      <c r="I163" s="284">
        <f t="shared" ca="1" si="31"/>
        <v>0</v>
      </c>
      <c r="J163" s="287" t="s">
        <v>404</v>
      </c>
      <c r="W163" s="278" t="str">
        <f ca="1">AB163&amp;"-"&amp;COUNTIF($AB$2:$AB163,$AB163)</f>
        <v>0-1-0-35</v>
      </c>
      <c r="X163" s="278" t="s">
        <v>404</v>
      </c>
      <c r="Y163" s="289">
        <f t="shared" ca="1" si="35"/>
        <v>0</v>
      </c>
      <c r="Z163" s="271">
        <v>1</v>
      </c>
      <c r="AA163" s="277">
        <f t="shared" ca="1" si="33"/>
        <v>0</v>
      </c>
      <c r="AB163" s="279" t="str">
        <f t="shared" ca="1" si="34"/>
        <v>0-1-0</v>
      </c>
    </row>
    <row r="164" spans="1:28" x14ac:dyDescent="0.25">
      <c r="A164" s="281" t="s">
        <v>85</v>
      </c>
      <c r="B164" s="281" t="s">
        <v>147</v>
      </c>
      <c r="C164" s="281" t="s">
        <v>405</v>
      </c>
      <c r="D164" s="281" t="s">
        <v>27</v>
      </c>
      <c r="E164" s="281">
        <v>2</v>
      </c>
      <c r="F164" s="222" t="str">
        <f t="shared" si="28"/>
        <v>PROGRAM-32</v>
      </c>
      <c r="G164" s="222">
        <f t="shared" si="29"/>
        <v>6</v>
      </c>
      <c r="H164" s="284">
        <f t="shared" ca="1" si="30"/>
        <v>0</v>
      </c>
      <c r="I164" s="284">
        <f t="shared" ca="1" si="31"/>
        <v>0</v>
      </c>
      <c r="J164" s="287" t="s">
        <v>405</v>
      </c>
      <c r="W164" s="278" t="str">
        <f ca="1">AB164&amp;"-"&amp;COUNTIF($AB$2:$AB164,$AB164)</f>
        <v>0-2-0-58</v>
      </c>
      <c r="X164" s="278" t="s">
        <v>405</v>
      </c>
      <c r="Y164" s="289">
        <f t="shared" ca="1" si="35"/>
        <v>0</v>
      </c>
      <c r="Z164" s="271">
        <v>2</v>
      </c>
      <c r="AA164" s="277">
        <f t="shared" ca="1" si="33"/>
        <v>0</v>
      </c>
      <c r="AB164" s="279" t="str">
        <f t="shared" ca="1" si="34"/>
        <v>0-2-0</v>
      </c>
    </row>
    <row r="165" spans="1:28" x14ac:dyDescent="0.25">
      <c r="A165" s="281" t="s">
        <v>85</v>
      </c>
      <c r="B165" s="281" t="s">
        <v>147</v>
      </c>
      <c r="C165" s="281" t="s">
        <v>406</v>
      </c>
      <c r="D165" s="281" t="s">
        <v>28</v>
      </c>
      <c r="E165" s="281">
        <v>2</v>
      </c>
      <c r="F165" s="222" t="str">
        <f t="shared" si="28"/>
        <v>PROGRAM-32</v>
      </c>
      <c r="G165" s="222">
        <f t="shared" si="29"/>
        <v>6</v>
      </c>
      <c r="H165" s="284">
        <f t="shared" ca="1" si="30"/>
        <v>0</v>
      </c>
      <c r="I165" s="284">
        <f t="shared" ca="1" si="31"/>
        <v>0</v>
      </c>
      <c r="J165" s="287" t="s">
        <v>406</v>
      </c>
      <c r="W165" s="278" t="str">
        <f ca="1">AB165&amp;"-"&amp;COUNTIF($AB$2:$AB165,$AB165)</f>
        <v>0-2-0-59</v>
      </c>
      <c r="X165" s="278" t="s">
        <v>406</v>
      </c>
      <c r="Y165" s="289">
        <f t="shared" ca="1" si="35"/>
        <v>0</v>
      </c>
      <c r="Z165" s="271">
        <v>2</v>
      </c>
      <c r="AA165" s="277">
        <f t="shared" ca="1" si="33"/>
        <v>0</v>
      </c>
      <c r="AB165" s="279" t="str">
        <f t="shared" ca="1" si="34"/>
        <v>0-2-0</v>
      </c>
    </row>
    <row r="166" spans="1:28" x14ac:dyDescent="0.25">
      <c r="A166" s="281" t="s">
        <v>85</v>
      </c>
      <c r="B166" s="281" t="s">
        <v>147</v>
      </c>
      <c r="C166" s="281" t="s">
        <v>407</v>
      </c>
      <c r="D166" s="281" t="s">
        <v>29</v>
      </c>
      <c r="E166" s="281">
        <v>2</v>
      </c>
      <c r="F166" s="222" t="str">
        <f t="shared" si="28"/>
        <v>PROGRAM-32</v>
      </c>
      <c r="G166" s="222">
        <f t="shared" si="29"/>
        <v>6</v>
      </c>
      <c r="H166" s="284">
        <f t="shared" ca="1" si="30"/>
        <v>0</v>
      </c>
      <c r="I166" s="284">
        <f t="shared" ca="1" si="31"/>
        <v>0</v>
      </c>
      <c r="J166" s="287" t="s">
        <v>407</v>
      </c>
      <c r="W166" s="278" t="str">
        <f ca="1">AB166&amp;"-"&amp;COUNTIF($AB$2:$AB166,$AB166)</f>
        <v>0-2-0-60</v>
      </c>
      <c r="X166" s="278" t="s">
        <v>407</v>
      </c>
      <c r="Y166" s="289">
        <f t="shared" ca="1" si="35"/>
        <v>0</v>
      </c>
      <c r="Z166" s="271">
        <v>2</v>
      </c>
      <c r="AA166" s="277">
        <f t="shared" ca="1" si="33"/>
        <v>0</v>
      </c>
      <c r="AB166" s="279" t="str">
        <f t="shared" ca="1" si="34"/>
        <v>0-2-0</v>
      </c>
    </row>
    <row r="167" spans="1:28" x14ac:dyDescent="0.25">
      <c r="A167" s="281" t="s">
        <v>85</v>
      </c>
      <c r="B167" s="281" t="s">
        <v>147</v>
      </c>
      <c r="C167" s="281" t="s">
        <v>408</v>
      </c>
      <c r="D167" s="281" t="s">
        <v>30</v>
      </c>
      <c r="E167" s="281">
        <v>2</v>
      </c>
      <c r="F167" s="222" t="str">
        <f t="shared" si="28"/>
        <v>PROGRAM-32</v>
      </c>
      <c r="G167" s="222">
        <f t="shared" si="29"/>
        <v>6</v>
      </c>
      <c r="H167" s="284">
        <f t="shared" ca="1" si="30"/>
        <v>0</v>
      </c>
      <c r="I167" s="284">
        <f t="shared" ca="1" si="31"/>
        <v>0</v>
      </c>
      <c r="J167" s="287" t="s">
        <v>408</v>
      </c>
      <c r="W167" s="278" t="str">
        <f ca="1">AB167&amp;"-"&amp;COUNTIF($AB$2:$AB167,$AB167)</f>
        <v>0-2-0-61</v>
      </c>
      <c r="X167" s="278" t="s">
        <v>408</v>
      </c>
      <c r="Y167" s="289">
        <f t="shared" ca="1" si="35"/>
        <v>0</v>
      </c>
      <c r="Z167" s="271">
        <v>2</v>
      </c>
      <c r="AA167" s="277">
        <f t="shared" ca="1" si="33"/>
        <v>0</v>
      </c>
      <c r="AB167" s="279" t="str">
        <f t="shared" ca="1" si="34"/>
        <v>0-2-0</v>
      </c>
    </row>
    <row r="168" spans="1:28" x14ac:dyDescent="0.25">
      <c r="A168" s="281" t="s">
        <v>85</v>
      </c>
      <c r="B168" s="281" t="s">
        <v>147</v>
      </c>
      <c r="C168" s="281" t="s">
        <v>409</v>
      </c>
      <c r="D168" s="281" t="s">
        <v>31</v>
      </c>
      <c r="E168" s="281">
        <v>2</v>
      </c>
      <c r="F168" s="222" t="str">
        <f t="shared" si="28"/>
        <v>PROGRAM-32</v>
      </c>
      <c r="G168" s="222">
        <f t="shared" si="29"/>
        <v>6</v>
      </c>
      <c r="H168" s="284">
        <f t="shared" ca="1" si="30"/>
        <v>0</v>
      </c>
      <c r="I168" s="284">
        <f t="shared" ca="1" si="31"/>
        <v>0</v>
      </c>
      <c r="J168" s="287" t="s">
        <v>409</v>
      </c>
      <c r="W168" s="278" t="str">
        <f ca="1">AB168&amp;"-"&amp;COUNTIF($AB$2:$AB168,$AB168)</f>
        <v>0-2-0-62</v>
      </c>
      <c r="X168" s="278" t="s">
        <v>409</v>
      </c>
      <c r="Y168" s="289">
        <f t="shared" ca="1" si="35"/>
        <v>0</v>
      </c>
      <c r="Z168" s="271">
        <v>2</v>
      </c>
      <c r="AA168" s="277">
        <f t="shared" ca="1" si="33"/>
        <v>0</v>
      </c>
      <c r="AB168" s="279" t="str">
        <f t="shared" ca="1" si="34"/>
        <v>0-2-0</v>
      </c>
    </row>
    <row r="169" spans="1:28" x14ac:dyDescent="0.25">
      <c r="A169" s="281" t="s">
        <v>85</v>
      </c>
      <c r="B169" s="281" t="s">
        <v>147</v>
      </c>
      <c r="C169" s="281" t="s">
        <v>410</v>
      </c>
      <c r="D169" s="281" t="s">
        <v>247</v>
      </c>
      <c r="E169" s="281">
        <v>2</v>
      </c>
      <c r="F169" s="222" t="str">
        <f t="shared" si="28"/>
        <v>PROGRAM-32</v>
      </c>
      <c r="G169" s="222">
        <f t="shared" si="29"/>
        <v>6</v>
      </c>
      <c r="H169" s="284">
        <f t="shared" ca="1" si="30"/>
        <v>0</v>
      </c>
      <c r="I169" s="284">
        <f t="shared" ca="1" si="31"/>
        <v>0</v>
      </c>
      <c r="J169" s="287" t="s">
        <v>410</v>
      </c>
      <c r="W169" s="278" t="str">
        <f ca="1">AB169&amp;"-"&amp;COUNTIF($AB$2:$AB169,$AB169)</f>
        <v>0-2-0-63</v>
      </c>
      <c r="X169" s="278" t="s">
        <v>410</v>
      </c>
      <c r="Y169" s="289">
        <f t="shared" ca="1" si="35"/>
        <v>0</v>
      </c>
      <c r="Z169" s="271">
        <v>2</v>
      </c>
      <c r="AA169" s="277">
        <f t="shared" ca="1" si="33"/>
        <v>0</v>
      </c>
      <c r="AB169" s="279" t="str">
        <f t="shared" ca="1" si="34"/>
        <v>0-2-0</v>
      </c>
    </row>
    <row r="170" spans="1:28" x14ac:dyDescent="0.25">
      <c r="A170" s="281" t="s">
        <v>85</v>
      </c>
      <c r="B170" s="281" t="s">
        <v>147</v>
      </c>
      <c r="C170" s="281" t="s">
        <v>411</v>
      </c>
      <c r="D170" s="281" t="s">
        <v>280</v>
      </c>
      <c r="E170" s="281">
        <v>3</v>
      </c>
      <c r="F170" s="222" t="str">
        <f t="shared" si="28"/>
        <v>PROGRAM-33</v>
      </c>
      <c r="G170" s="222">
        <f t="shared" si="29"/>
        <v>5</v>
      </c>
      <c r="H170" s="284">
        <f t="shared" ca="1" si="30"/>
        <v>0</v>
      </c>
      <c r="I170" s="284">
        <f t="shared" ca="1" si="31"/>
        <v>0</v>
      </c>
      <c r="J170" s="287" t="s">
        <v>411</v>
      </c>
      <c r="W170" s="278" t="str">
        <f ca="1">AB170&amp;"-"&amp;COUNTIF($AB$2:$AB170,$AB170)</f>
        <v>0-3-0-39</v>
      </c>
      <c r="X170" s="278" t="s">
        <v>411</v>
      </c>
      <c r="Y170" s="289">
        <f t="shared" ca="1" si="35"/>
        <v>0</v>
      </c>
      <c r="Z170" s="271">
        <v>3</v>
      </c>
      <c r="AA170" s="277">
        <f t="shared" ca="1" si="33"/>
        <v>0</v>
      </c>
      <c r="AB170" s="279" t="str">
        <f t="shared" ca="1" si="34"/>
        <v>0-3-0</v>
      </c>
    </row>
    <row r="171" spans="1:28" x14ac:dyDescent="0.25">
      <c r="A171" s="281" t="s">
        <v>85</v>
      </c>
      <c r="B171" s="281" t="s">
        <v>147</v>
      </c>
      <c r="C171" s="281" t="s">
        <v>412</v>
      </c>
      <c r="D171" s="281" t="s">
        <v>282</v>
      </c>
      <c r="E171" s="281">
        <v>3</v>
      </c>
      <c r="F171" s="222" t="str">
        <f t="shared" si="28"/>
        <v>PROGRAM-33</v>
      </c>
      <c r="G171" s="222">
        <f t="shared" si="29"/>
        <v>5</v>
      </c>
      <c r="H171" s="284">
        <f t="shared" ca="1" si="30"/>
        <v>0</v>
      </c>
      <c r="I171" s="284">
        <f t="shared" ca="1" si="31"/>
        <v>0</v>
      </c>
      <c r="J171" s="287" t="s">
        <v>412</v>
      </c>
      <c r="W171" s="278" t="str">
        <f ca="1">AB171&amp;"-"&amp;COUNTIF($AB$2:$AB171,$AB171)</f>
        <v>0-3-0-40</v>
      </c>
      <c r="X171" s="278" t="s">
        <v>412</v>
      </c>
      <c r="Y171" s="289">
        <f t="shared" ca="1" si="35"/>
        <v>0</v>
      </c>
      <c r="Z171" s="271">
        <v>3</v>
      </c>
      <c r="AA171" s="277">
        <f t="shared" ca="1" si="33"/>
        <v>0</v>
      </c>
      <c r="AB171" s="279" t="str">
        <f t="shared" ca="1" si="34"/>
        <v>0-3-0</v>
      </c>
    </row>
    <row r="172" spans="1:28" x14ac:dyDescent="0.25">
      <c r="A172" s="281" t="s">
        <v>85</v>
      </c>
      <c r="B172" s="281" t="s">
        <v>147</v>
      </c>
      <c r="C172" s="281" t="s">
        <v>413</v>
      </c>
      <c r="D172" s="281" t="s">
        <v>414</v>
      </c>
      <c r="E172" s="281">
        <v>3</v>
      </c>
      <c r="F172" s="222" t="str">
        <f t="shared" si="28"/>
        <v>PROGRAM-33</v>
      </c>
      <c r="G172" s="222">
        <f t="shared" si="29"/>
        <v>5</v>
      </c>
      <c r="H172" s="284">
        <f t="shared" ca="1" si="30"/>
        <v>0</v>
      </c>
      <c r="I172" s="284">
        <f t="shared" ca="1" si="31"/>
        <v>0</v>
      </c>
      <c r="J172" s="287" t="s">
        <v>413</v>
      </c>
      <c r="W172" s="278" t="str">
        <f ca="1">AB172&amp;"-"&amp;COUNTIF($AB$2:$AB172,$AB172)</f>
        <v>0-3-0-41</v>
      </c>
      <c r="X172" s="278" t="s">
        <v>413</v>
      </c>
      <c r="Y172" s="289">
        <f t="shared" ca="1" si="35"/>
        <v>0</v>
      </c>
      <c r="Z172" s="271">
        <v>3</v>
      </c>
      <c r="AA172" s="277">
        <f t="shared" ca="1" si="33"/>
        <v>0</v>
      </c>
      <c r="AB172" s="279" t="str">
        <f t="shared" ca="1" si="34"/>
        <v>0-3-0</v>
      </c>
    </row>
    <row r="173" spans="1:28" x14ac:dyDescent="0.25">
      <c r="A173" s="281" t="s">
        <v>85</v>
      </c>
      <c r="B173" s="281" t="s">
        <v>147</v>
      </c>
      <c r="C173" s="281" t="s">
        <v>415</v>
      </c>
      <c r="D173" s="281" t="s">
        <v>416</v>
      </c>
      <c r="E173" s="281">
        <v>3</v>
      </c>
      <c r="F173" s="222" t="str">
        <f t="shared" si="28"/>
        <v>PROGRAM-33</v>
      </c>
      <c r="G173" s="222">
        <f t="shared" si="29"/>
        <v>5</v>
      </c>
      <c r="H173" s="284">
        <f t="shared" ca="1" si="30"/>
        <v>0</v>
      </c>
      <c r="I173" s="284">
        <f t="shared" ca="1" si="31"/>
        <v>0</v>
      </c>
      <c r="J173" s="287" t="s">
        <v>415</v>
      </c>
      <c r="W173" s="278" t="str">
        <f ca="1">AB173&amp;"-"&amp;COUNTIF($AB$2:$AB173,$AB173)</f>
        <v>0-3-0-42</v>
      </c>
      <c r="X173" s="278" t="s">
        <v>415</v>
      </c>
      <c r="Y173" s="289">
        <f t="shared" ca="1" si="35"/>
        <v>0</v>
      </c>
      <c r="Z173" s="271">
        <v>3</v>
      </c>
      <c r="AA173" s="277">
        <f t="shared" ca="1" si="33"/>
        <v>0</v>
      </c>
      <c r="AB173" s="279" t="str">
        <f t="shared" ca="1" si="34"/>
        <v>0-3-0</v>
      </c>
    </row>
    <row r="174" spans="1:28" x14ac:dyDescent="0.25">
      <c r="A174" s="281" t="s">
        <v>85</v>
      </c>
      <c r="B174" s="281" t="s">
        <v>147</v>
      </c>
      <c r="C174" s="281" t="s">
        <v>417</v>
      </c>
      <c r="D174" s="281" t="s">
        <v>418</v>
      </c>
      <c r="E174" s="281">
        <v>3</v>
      </c>
      <c r="F174" s="222" t="str">
        <f t="shared" si="28"/>
        <v>PROGRAM-33</v>
      </c>
      <c r="G174" s="222">
        <f t="shared" si="29"/>
        <v>5</v>
      </c>
      <c r="H174" s="284">
        <f t="shared" ca="1" si="30"/>
        <v>0</v>
      </c>
      <c r="I174" s="284">
        <f t="shared" ca="1" si="31"/>
        <v>0</v>
      </c>
      <c r="J174" s="287" t="s">
        <v>417</v>
      </c>
      <c r="W174" s="278" t="str">
        <f ca="1">AB174&amp;"-"&amp;COUNTIF($AB$2:$AB174,$AB174)</f>
        <v>0-3-0-43</v>
      </c>
      <c r="X174" s="278" t="s">
        <v>417</v>
      </c>
      <c r="Y174" s="289">
        <f t="shared" ca="1" si="35"/>
        <v>0</v>
      </c>
      <c r="Z174" s="271">
        <v>3</v>
      </c>
      <c r="AA174" s="277">
        <f t="shared" ca="1" si="33"/>
        <v>0</v>
      </c>
      <c r="AB174" s="279" t="str">
        <f t="shared" ca="1" si="34"/>
        <v>0-3-0</v>
      </c>
    </row>
    <row r="175" spans="1:28" x14ac:dyDescent="0.25">
      <c r="A175" s="281" t="s">
        <v>85</v>
      </c>
      <c r="B175" s="281" t="s">
        <v>150</v>
      </c>
      <c r="C175" s="281" t="s">
        <v>419</v>
      </c>
      <c r="D175" s="281" t="s">
        <v>126</v>
      </c>
      <c r="E175" s="281">
        <v>2</v>
      </c>
      <c r="F175" s="222" t="str">
        <f t="shared" si="28"/>
        <v>PROGRAM-42</v>
      </c>
      <c r="G175" s="222">
        <f t="shared" si="29"/>
        <v>4</v>
      </c>
      <c r="H175" s="284">
        <f t="shared" ca="1" si="30"/>
        <v>0</v>
      </c>
      <c r="I175" s="284">
        <f t="shared" ca="1" si="31"/>
        <v>0</v>
      </c>
      <c r="J175" s="287" t="s">
        <v>419</v>
      </c>
      <c r="W175" s="278" t="str">
        <f ca="1">AB175&amp;"-"&amp;COUNTIF($AB$2:$AB175,$AB175)</f>
        <v>1-2-0-19</v>
      </c>
      <c r="X175" s="278" t="s">
        <v>419</v>
      </c>
      <c r="Y175" s="289">
        <f t="shared" ca="1" si="35"/>
        <v>1</v>
      </c>
      <c r="Z175" s="271">
        <v>2</v>
      </c>
      <c r="AA175" s="277">
        <f t="shared" ca="1" si="33"/>
        <v>0</v>
      </c>
      <c r="AB175" s="279" t="str">
        <f t="shared" ca="1" si="34"/>
        <v>1-2-0</v>
      </c>
    </row>
    <row r="176" spans="1:28" x14ac:dyDescent="0.25">
      <c r="A176" s="281" t="s">
        <v>85</v>
      </c>
      <c r="B176" s="281" t="s">
        <v>150</v>
      </c>
      <c r="C176" s="281" t="s">
        <v>420</v>
      </c>
      <c r="D176" s="281" t="s">
        <v>129</v>
      </c>
      <c r="E176" s="281">
        <v>2</v>
      </c>
      <c r="F176" s="222" t="str">
        <f t="shared" si="28"/>
        <v>PROGRAM-42</v>
      </c>
      <c r="G176" s="222">
        <f t="shared" si="29"/>
        <v>4</v>
      </c>
      <c r="H176" s="284">
        <f t="shared" ca="1" si="30"/>
        <v>0</v>
      </c>
      <c r="I176" s="284">
        <f t="shared" ca="1" si="31"/>
        <v>0</v>
      </c>
      <c r="J176" s="287" t="s">
        <v>420</v>
      </c>
      <c r="W176" s="278" t="str">
        <f ca="1">AB176&amp;"-"&amp;COUNTIF($AB$2:$AB176,$AB176)</f>
        <v>1-2-0-20</v>
      </c>
      <c r="X176" s="278" t="s">
        <v>420</v>
      </c>
      <c r="Y176" s="289">
        <f t="shared" ca="1" si="35"/>
        <v>1</v>
      </c>
      <c r="Z176" s="271">
        <v>2</v>
      </c>
      <c r="AA176" s="277">
        <f t="shared" ca="1" si="33"/>
        <v>0</v>
      </c>
      <c r="AB176" s="279" t="str">
        <f t="shared" ca="1" si="34"/>
        <v>1-2-0</v>
      </c>
    </row>
    <row r="177" spans="1:28" x14ac:dyDescent="0.25">
      <c r="A177" s="281" t="s">
        <v>85</v>
      </c>
      <c r="B177" s="281" t="s">
        <v>150</v>
      </c>
      <c r="C177" s="281" t="s">
        <v>421</v>
      </c>
      <c r="D177" s="281" t="s">
        <v>132</v>
      </c>
      <c r="E177" s="281">
        <v>2</v>
      </c>
      <c r="F177" s="222" t="str">
        <f t="shared" si="28"/>
        <v>PROGRAM-42</v>
      </c>
      <c r="G177" s="222">
        <f t="shared" si="29"/>
        <v>4</v>
      </c>
      <c r="H177" s="284">
        <f t="shared" ca="1" si="30"/>
        <v>0</v>
      </c>
      <c r="I177" s="284">
        <f t="shared" ca="1" si="31"/>
        <v>0</v>
      </c>
      <c r="J177" s="287" t="s">
        <v>421</v>
      </c>
      <c r="W177" s="278" t="str">
        <f ca="1">AB177&amp;"-"&amp;COUNTIF($AB$2:$AB177,$AB177)</f>
        <v>1-2-0-21</v>
      </c>
      <c r="X177" s="278" t="s">
        <v>421</v>
      </c>
      <c r="Y177" s="289">
        <f t="shared" ca="1" si="35"/>
        <v>1</v>
      </c>
      <c r="Z177" s="271">
        <v>2</v>
      </c>
      <c r="AA177" s="277">
        <f t="shared" ca="1" si="33"/>
        <v>0</v>
      </c>
      <c r="AB177" s="279" t="str">
        <f t="shared" ca="1" si="34"/>
        <v>1-2-0</v>
      </c>
    </row>
    <row r="178" spans="1:28" x14ac:dyDescent="0.25">
      <c r="A178" s="281" t="s">
        <v>85</v>
      </c>
      <c r="B178" s="281" t="s">
        <v>150</v>
      </c>
      <c r="C178" s="281" t="s">
        <v>422</v>
      </c>
      <c r="D178" s="281" t="s">
        <v>135</v>
      </c>
      <c r="E178" s="281">
        <v>2</v>
      </c>
      <c r="F178" s="222" t="str">
        <f t="shared" si="28"/>
        <v>PROGRAM-42</v>
      </c>
      <c r="G178" s="222">
        <f t="shared" si="29"/>
        <v>4</v>
      </c>
      <c r="H178" s="284">
        <f t="shared" ca="1" si="30"/>
        <v>0</v>
      </c>
      <c r="I178" s="284">
        <f t="shared" ca="1" si="31"/>
        <v>0</v>
      </c>
      <c r="J178" s="287" t="s">
        <v>422</v>
      </c>
      <c r="W178" s="278" t="str">
        <f ca="1">AB178&amp;"-"&amp;COUNTIF($AB$2:$AB178,$AB178)</f>
        <v>1-2-0-22</v>
      </c>
      <c r="X178" s="278" t="s">
        <v>422</v>
      </c>
      <c r="Y178" s="289">
        <f t="shared" ca="1" si="35"/>
        <v>1</v>
      </c>
      <c r="Z178" s="271">
        <v>2</v>
      </c>
      <c r="AA178" s="277">
        <f t="shared" ca="1" si="33"/>
        <v>0</v>
      </c>
      <c r="AB178" s="279" t="str">
        <f t="shared" ca="1" si="34"/>
        <v>1-2-0</v>
      </c>
    </row>
    <row r="179" spans="1:28" x14ac:dyDescent="0.25">
      <c r="A179" s="281" t="s">
        <v>85</v>
      </c>
      <c r="B179" s="281" t="s">
        <v>150</v>
      </c>
      <c r="C179" s="281" t="s">
        <v>423</v>
      </c>
      <c r="D179" s="281" t="s">
        <v>138</v>
      </c>
      <c r="E179" s="281">
        <v>3</v>
      </c>
      <c r="F179" s="222" t="str">
        <f t="shared" si="28"/>
        <v>PROGRAM-43</v>
      </c>
      <c r="G179" s="222">
        <f t="shared" si="29"/>
        <v>3</v>
      </c>
      <c r="H179" s="284">
        <f t="shared" ca="1" si="30"/>
        <v>0</v>
      </c>
      <c r="I179" s="284">
        <f t="shared" ca="1" si="31"/>
        <v>0</v>
      </c>
      <c r="J179" s="287" t="s">
        <v>423</v>
      </c>
      <c r="W179" s="278" t="str">
        <f ca="1">AB179&amp;"-"&amp;COUNTIF($AB$2:$AB179,$AB179)</f>
        <v>1-3-0-15</v>
      </c>
      <c r="X179" s="278" t="s">
        <v>423</v>
      </c>
      <c r="Y179" s="289">
        <f t="shared" ca="1" si="35"/>
        <v>1</v>
      </c>
      <c r="Z179" s="271">
        <v>3</v>
      </c>
      <c r="AA179" s="277">
        <f t="shared" ca="1" si="33"/>
        <v>0</v>
      </c>
      <c r="AB179" s="279" t="str">
        <f t="shared" ca="1" si="34"/>
        <v>1-3-0</v>
      </c>
    </row>
    <row r="180" spans="1:28" x14ac:dyDescent="0.25">
      <c r="A180" s="281" t="s">
        <v>85</v>
      </c>
      <c r="B180" s="281" t="s">
        <v>150</v>
      </c>
      <c r="C180" s="281" t="s">
        <v>424</v>
      </c>
      <c r="D180" s="281" t="s">
        <v>140</v>
      </c>
      <c r="E180" s="281">
        <v>3</v>
      </c>
      <c r="F180" s="222" t="str">
        <f t="shared" si="28"/>
        <v>PROGRAM-43</v>
      </c>
      <c r="G180" s="222">
        <f t="shared" si="29"/>
        <v>3</v>
      </c>
      <c r="H180" s="284">
        <f t="shared" ca="1" si="30"/>
        <v>0</v>
      </c>
      <c r="I180" s="284">
        <f t="shared" ca="1" si="31"/>
        <v>0</v>
      </c>
      <c r="J180" s="287" t="s">
        <v>424</v>
      </c>
      <c r="W180" s="278" t="str">
        <f ca="1">AB180&amp;"-"&amp;COUNTIF($AB$2:$AB180,$AB180)</f>
        <v>1-3-0-16</v>
      </c>
      <c r="X180" s="278" t="s">
        <v>424</v>
      </c>
      <c r="Y180" s="289">
        <f t="shared" ca="1" si="35"/>
        <v>1</v>
      </c>
      <c r="Z180" s="271">
        <v>3</v>
      </c>
      <c r="AA180" s="277">
        <f t="shared" ca="1" si="33"/>
        <v>0</v>
      </c>
      <c r="AB180" s="279" t="str">
        <f t="shared" ca="1" si="34"/>
        <v>1-3-0</v>
      </c>
    </row>
    <row r="181" spans="1:28" x14ac:dyDescent="0.25">
      <c r="A181" s="281" t="s">
        <v>85</v>
      </c>
      <c r="B181" s="281" t="s">
        <v>150</v>
      </c>
      <c r="C181" s="281" t="s">
        <v>1779</v>
      </c>
      <c r="D181" s="281" t="s">
        <v>255</v>
      </c>
      <c r="E181" s="281">
        <v>3</v>
      </c>
      <c r="F181" s="222" t="str">
        <f t="shared" si="28"/>
        <v>PROGRAM-43</v>
      </c>
      <c r="G181" s="222">
        <f t="shared" si="29"/>
        <v>3</v>
      </c>
      <c r="H181" s="284">
        <f t="shared" ca="1" si="30"/>
        <v>0</v>
      </c>
      <c r="I181" s="284">
        <f t="shared" ref="I181" ca="1" si="36">IFERROR(IF(H181&gt;2,1,0),0)</f>
        <v>0</v>
      </c>
      <c r="J181" s="287" t="s">
        <v>1779</v>
      </c>
      <c r="W181" s="278" t="str">
        <f ca="1">AB181&amp;"-"&amp;COUNTIF($AB$2:$AB181,$AB181)</f>
        <v>1-3-0-17</v>
      </c>
      <c r="X181" s="278" t="s">
        <v>1779</v>
      </c>
      <c r="Y181" s="289">
        <v>1</v>
      </c>
      <c r="Z181" s="271">
        <v>3</v>
      </c>
      <c r="AA181" s="277">
        <f t="shared" ca="1" si="33"/>
        <v>0</v>
      </c>
      <c r="AB181" s="279" t="str">
        <f t="shared" ref="AB181" ca="1" si="37">Y181&amp;"-"&amp;Z181&amp;"-"&amp;AA181</f>
        <v>1-3-0</v>
      </c>
    </row>
    <row r="182" spans="1:28" x14ac:dyDescent="0.25">
      <c r="A182" s="281" t="s">
        <v>74</v>
      </c>
      <c r="B182" s="281" t="s">
        <v>96</v>
      </c>
      <c r="C182" s="281" t="s">
        <v>256</v>
      </c>
      <c r="D182" s="281" t="s">
        <v>7</v>
      </c>
      <c r="E182" s="281">
        <v>1</v>
      </c>
      <c r="F182" s="222" t="str">
        <f t="shared" si="28"/>
        <v>RESPONSE-11</v>
      </c>
      <c r="G182" s="222">
        <f t="shared" si="29"/>
        <v>1</v>
      </c>
      <c r="H182" s="284">
        <f t="shared" ca="1" si="30"/>
        <v>0</v>
      </c>
      <c r="I182" s="284">
        <f t="shared" ca="1" si="31"/>
        <v>0</v>
      </c>
      <c r="J182" s="287" t="s">
        <v>256</v>
      </c>
      <c r="W182" s="278" t="str">
        <f ca="1">AB182&amp;"-"&amp;COUNTIF($AB$2:$AB182,$AB182)</f>
        <v>0-1-0-36</v>
      </c>
      <c r="X182" s="278" t="s">
        <v>256</v>
      </c>
      <c r="Y182" s="289">
        <f t="shared" ref="Y182:Y213" ca="1" si="38">VLOOKUP(LEFT($X182,LEN($X182)-1),$K:$O,5,FALSE)</f>
        <v>0</v>
      </c>
      <c r="Z182" s="271">
        <v>1</v>
      </c>
      <c r="AA182" s="277">
        <f t="shared" ca="1" si="33"/>
        <v>0</v>
      </c>
      <c r="AB182" s="279" t="str">
        <f t="shared" ca="1" si="34"/>
        <v>0-1-0</v>
      </c>
    </row>
    <row r="183" spans="1:28" x14ac:dyDescent="0.25">
      <c r="A183" s="281" t="s">
        <v>74</v>
      </c>
      <c r="B183" s="281" t="s">
        <v>96</v>
      </c>
      <c r="C183" s="281" t="s">
        <v>257</v>
      </c>
      <c r="D183" s="281" t="s">
        <v>9</v>
      </c>
      <c r="E183" s="281">
        <v>2</v>
      </c>
      <c r="F183" s="222" t="str">
        <f t="shared" si="28"/>
        <v>RESPONSE-12</v>
      </c>
      <c r="G183" s="222">
        <f t="shared" si="29"/>
        <v>2</v>
      </c>
      <c r="H183" s="284">
        <f t="shared" ca="1" si="30"/>
        <v>0</v>
      </c>
      <c r="I183" s="284">
        <f t="shared" ca="1" si="31"/>
        <v>0</v>
      </c>
      <c r="J183" s="287" t="s">
        <v>257</v>
      </c>
      <c r="W183" s="278" t="str">
        <f ca="1">AB183&amp;"-"&amp;COUNTIF($AB$2:$AB183,$AB183)</f>
        <v>0-2-0-64</v>
      </c>
      <c r="X183" s="278" t="s">
        <v>257</v>
      </c>
      <c r="Y183" s="289">
        <f t="shared" ca="1" si="38"/>
        <v>0</v>
      </c>
      <c r="Z183" s="271">
        <v>2</v>
      </c>
      <c r="AA183" s="277">
        <f t="shared" ca="1" si="33"/>
        <v>0</v>
      </c>
      <c r="AB183" s="279" t="str">
        <f t="shared" ca="1" si="34"/>
        <v>0-2-0</v>
      </c>
    </row>
    <row r="184" spans="1:28" x14ac:dyDescent="0.25">
      <c r="A184" s="281" t="s">
        <v>74</v>
      </c>
      <c r="B184" s="281" t="s">
        <v>96</v>
      </c>
      <c r="C184" s="281" t="s">
        <v>258</v>
      </c>
      <c r="D184" s="281" t="s">
        <v>10</v>
      </c>
      <c r="E184" s="281">
        <v>2</v>
      </c>
      <c r="F184" s="222" t="str">
        <f t="shared" si="28"/>
        <v>RESPONSE-12</v>
      </c>
      <c r="G184" s="222">
        <f t="shared" si="29"/>
        <v>2</v>
      </c>
      <c r="H184" s="284">
        <f t="shared" ca="1" si="30"/>
        <v>0</v>
      </c>
      <c r="I184" s="284">
        <f t="shared" ca="1" si="31"/>
        <v>0</v>
      </c>
      <c r="J184" s="287" t="s">
        <v>258</v>
      </c>
      <c r="W184" s="278" t="str">
        <f ca="1">AB184&amp;"-"&amp;COUNTIF($AB$2:$AB184,$AB184)</f>
        <v>0-2-0-65</v>
      </c>
      <c r="X184" s="278" t="s">
        <v>258</v>
      </c>
      <c r="Y184" s="289">
        <f t="shared" ca="1" si="38"/>
        <v>0</v>
      </c>
      <c r="Z184" s="271">
        <v>2</v>
      </c>
      <c r="AA184" s="277">
        <f t="shared" ca="1" si="33"/>
        <v>0</v>
      </c>
      <c r="AB184" s="279" t="str">
        <f t="shared" ca="1" si="34"/>
        <v>0-2-0</v>
      </c>
    </row>
    <row r="185" spans="1:28" x14ac:dyDescent="0.25">
      <c r="A185" s="281" t="s">
        <v>74</v>
      </c>
      <c r="B185" s="281" t="s">
        <v>96</v>
      </c>
      <c r="C185" s="281" t="s">
        <v>259</v>
      </c>
      <c r="D185" s="281" t="s">
        <v>11</v>
      </c>
      <c r="E185" s="281">
        <v>3</v>
      </c>
      <c r="F185" s="222" t="str">
        <f t="shared" si="28"/>
        <v>RESPONSE-13</v>
      </c>
      <c r="G185" s="222">
        <f t="shared" si="29"/>
        <v>3</v>
      </c>
      <c r="H185" s="284">
        <f t="shared" ca="1" si="30"/>
        <v>0</v>
      </c>
      <c r="I185" s="284">
        <f t="shared" ca="1" si="31"/>
        <v>0</v>
      </c>
      <c r="J185" s="287" t="s">
        <v>259</v>
      </c>
      <c r="W185" s="278" t="str">
        <f ca="1">AB185&amp;"-"&amp;COUNTIF($AB$2:$AB185,$AB185)</f>
        <v>0-3-0-44</v>
      </c>
      <c r="X185" s="278" t="s">
        <v>259</v>
      </c>
      <c r="Y185" s="289">
        <f t="shared" ca="1" si="38"/>
        <v>0</v>
      </c>
      <c r="Z185" s="271">
        <v>3</v>
      </c>
      <c r="AA185" s="277">
        <f t="shared" ca="1" si="33"/>
        <v>0</v>
      </c>
      <c r="AB185" s="279" t="str">
        <f t="shared" ca="1" si="34"/>
        <v>0-3-0</v>
      </c>
    </row>
    <row r="186" spans="1:28" x14ac:dyDescent="0.25">
      <c r="A186" s="281" t="s">
        <v>74</v>
      </c>
      <c r="B186" s="281" t="s">
        <v>96</v>
      </c>
      <c r="C186" s="281" t="s">
        <v>260</v>
      </c>
      <c r="D186" s="281" t="s">
        <v>12</v>
      </c>
      <c r="E186" s="281">
        <v>3</v>
      </c>
      <c r="F186" s="222" t="str">
        <f t="shared" si="28"/>
        <v>RESPONSE-13</v>
      </c>
      <c r="G186" s="222">
        <f t="shared" si="29"/>
        <v>3</v>
      </c>
      <c r="H186" s="284">
        <f t="shared" ca="1" si="30"/>
        <v>0</v>
      </c>
      <c r="I186" s="284">
        <f t="shared" ca="1" si="31"/>
        <v>0</v>
      </c>
      <c r="J186" s="287" t="s">
        <v>260</v>
      </c>
      <c r="W186" s="278" t="str">
        <f ca="1">AB186&amp;"-"&amp;COUNTIF($AB$2:$AB186,$AB186)</f>
        <v>0-3-0-45</v>
      </c>
      <c r="X186" s="278" t="s">
        <v>260</v>
      </c>
      <c r="Y186" s="289">
        <f t="shared" ca="1" si="38"/>
        <v>0</v>
      </c>
      <c r="Z186" s="271">
        <v>3</v>
      </c>
      <c r="AA186" s="277">
        <f t="shared" ca="1" si="33"/>
        <v>0</v>
      </c>
      <c r="AB186" s="279" t="str">
        <f t="shared" ca="1" si="34"/>
        <v>0-3-0</v>
      </c>
    </row>
    <row r="187" spans="1:28" x14ac:dyDescent="0.25">
      <c r="A187" s="281" t="s">
        <v>74</v>
      </c>
      <c r="B187" s="281" t="s">
        <v>96</v>
      </c>
      <c r="C187" s="281" t="s">
        <v>261</v>
      </c>
      <c r="D187" s="281" t="s">
        <v>13</v>
      </c>
      <c r="E187" s="281">
        <v>3</v>
      </c>
      <c r="F187" s="222" t="str">
        <f t="shared" si="28"/>
        <v>RESPONSE-13</v>
      </c>
      <c r="G187" s="222">
        <f t="shared" si="29"/>
        <v>3</v>
      </c>
      <c r="H187" s="284">
        <f t="shared" ca="1" si="30"/>
        <v>0</v>
      </c>
      <c r="I187" s="284">
        <f t="shared" ca="1" si="31"/>
        <v>0</v>
      </c>
      <c r="J187" s="287" t="s">
        <v>261</v>
      </c>
      <c r="W187" s="278" t="str">
        <f ca="1">AB187&amp;"-"&amp;COUNTIF($AB$2:$AB187,$AB187)</f>
        <v>0-3-0-46</v>
      </c>
      <c r="X187" s="278" t="s">
        <v>261</v>
      </c>
      <c r="Y187" s="289">
        <f t="shared" ca="1" si="38"/>
        <v>0</v>
      </c>
      <c r="Z187" s="271">
        <v>3</v>
      </c>
      <c r="AA187" s="277">
        <f t="shared" ca="1" si="33"/>
        <v>0</v>
      </c>
      <c r="AB187" s="279" t="str">
        <f t="shared" ca="1" si="34"/>
        <v>0-3-0</v>
      </c>
    </row>
    <row r="188" spans="1:28" x14ac:dyDescent="0.25">
      <c r="A188" s="281" t="s">
        <v>74</v>
      </c>
      <c r="B188" s="281" t="s">
        <v>98</v>
      </c>
      <c r="C188" s="281" t="s">
        <v>262</v>
      </c>
      <c r="D188" s="281" t="s">
        <v>20</v>
      </c>
      <c r="E188" s="281">
        <v>1</v>
      </c>
      <c r="F188" s="222" t="str">
        <f t="shared" si="28"/>
        <v>RESPONSE-21</v>
      </c>
      <c r="G188" s="222">
        <f t="shared" si="29"/>
        <v>2</v>
      </c>
      <c r="H188" s="284">
        <f t="shared" ca="1" si="30"/>
        <v>0</v>
      </c>
      <c r="I188" s="284">
        <f t="shared" ca="1" si="31"/>
        <v>0</v>
      </c>
      <c r="J188" s="287" t="s">
        <v>262</v>
      </c>
      <c r="W188" s="278" t="str">
        <f ca="1">AB188&amp;"-"&amp;COUNTIF($AB$2:$AB188,$AB188)</f>
        <v>0-1-0-37</v>
      </c>
      <c r="X188" s="278" t="s">
        <v>262</v>
      </c>
      <c r="Y188" s="289">
        <f t="shared" ca="1" si="38"/>
        <v>0</v>
      </c>
      <c r="Z188" s="271">
        <v>1</v>
      </c>
      <c r="AA188" s="277">
        <f t="shared" ca="1" si="33"/>
        <v>0</v>
      </c>
      <c r="AB188" s="279" t="str">
        <f t="shared" ca="1" si="34"/>
        <v>0-1-0</v>
      </c>
    </row>
    <row r="189" spans="1:28" x14ac:dyDescent="0.25">
      <c r="A189" s="281" t="s">
        <v>74</v>
      </c>
      <c r="B189" s="281" t="s">
        <v>98</v>
      </c>
      <c r="C189" s="281" t="s">
        <v>263</v>
      </c>
      <c r="D189" s="281" t="s">
        <v>21</v>
      </c>
      <c r="E189" s="281">
        <v>1</v>
      </c>
      <c r="F189" s="222" t="str">
        <f t="shared" si="28"/>
        <v>RESPONSE-21</v>
      </c>
      <c r="G189" s="222">
        <f t="shared" si="29"/>
        <v>2</v>
      </c>
      <c r="H189" s="284">
        <f t="shared" ca="1" si="30"/>
        <v>0</v>
      </c>
      <c r="I189" s="284">
        <f t="shared" ca="1" si="31"/>
        <v>0</v>
      </c>
      <c r="J189" s="287" t="s">
        <v>263</v>
      </c>
      <c r="W189" s="278" t="str">
        <f ca="1">AB189&amp;"-"&amp;COUNTIF($AB$2:$AB189,$AB189)</f>
        <v>0-1-0-38</v>
      </c>
      <c r="X189" s="278" t="s">
        <v>263</v>
      </c>
      <c r="Y189" s="289">
        <f t="shared" ca="1" si="38"/>
        <v>0</v>
      </c>
      <c r="Z189" s="271">
        <v>1</v>
      </c>
      <c r="AA189" s="277">
        <f t="shared" ca="1" si="33"/>
        <v>0</v>
      </c>
      <c r="AB189" s="279" t="str">
        <f t="shared" ca="1" si="34"/>
        <v>0-1-0</v>
      </c>
    </row>
    <row r="190" spans="1:28" x14ac:dyDescent="0.25">
      <c r="A190" s="281" t="s">
        <v>74</v>
      </c>
      <c r="B190" s="281" t="s">
        <v>98</v>
      </c>
      <c r="C190" s="281" t="s">
        <v>264</v>
      </c>
      <c r="D190" s="281" t="s">
        <v>22</v>
      </c>
      <c r="E190" s="281">
        <v>2</v>
      </c>
      <c r="F190" s="222" t="str">
        <f t="shared" si="28"/>
        <v>RESPONSE-22</v>
      </c>
      <c r="G190" s="222">
        <f t="shared" si="29"/>
        <v>5</v>
      </c>
      <c r="H190" s="284">
        <f t="shared" ca="1" si="30"/>
        <v>0</v>
      </c>
      <c r="I190" s="284">
        <f t="shared" ca="1" si="31"/>
        <v>0</v>
      </c>
      <c r="J190" s="287" t="s">
        <v>264</v>
      </c>
      <c r="W190" s="278" t="str">
        <f ca="1">AB190&amp;"-"&amp;COUNTIF($AB$2:$AB190,$AB190)</f>
        <v>0-2-0-66</v>
      </c>
      <c r="X190" s="278" t="s">
        <v>264</v>
      </c>
      <c r="Y190" s="289">
        <f t="shared" ca="1" si="38"/>
        <v>0</v>
      </c>
      <c r="Z190" s="271">
        <v>2</v>
      </c>
      <c r="AA190" s="277">
        <f t="shared" ca="1" si="33"/>
        <v>0</v>
      </c>
      <c r="AB190" s="279" t="str">
        <f t="shared" ca="1" si="34"/>
        <v>0-2-0</v>
      </c>
    </row>
    <row r="191" spans="1:28" x14ac:dyDescent="0.25">
      <c r="A191" s="281" t="s">
        <v>74</v>
      </c>
      <c r="B191" s="281" t="s">
        <v>98</v>
      </c>
      <c r="C191" s="281" t="s">
        <v>265</v>
      </c>
      <c r="D191" s="281" t="s">
        <v>23</v>
      </c>
      <c r="E191" s="281">
        <v>2</v>
      </c>
      <c r="F191" s="222" t="str">
        <f t="shared" si="28"/>
        <v>RESPONSE-22</v>
      </c>
      <c r="G191" s="222">
        <f t="shared" si="29"/>
        <v>5</v>
      </c>
      <c r="H191" s="284">
        <f t="shared" ca="1" si="30"/>
        <v>0</v>
      </c>
      <c r="I191" s="284">
        <f t="shared" ca="1" si="31"/>
        <v>0</v>
      </c>
      <c r="J191" s="287" t="s">
        <v>265</v>
      </c>
      <c r="W191" s="278" t="str">
        <f ca="1">AB191&amp;"-"&amp;COUNTIF($AB$2:$AB191,$AB191)</f>
        <v>0-2-0-67</v>
      </c>
      <c r="X191" s="278" t="s">
        <v>265</v>
      </c>
      <c r="Y191" s="289">
        <f t="shared" ca="1" si="38"/>
        <v>0</v>
      </c>
      <c r="Z191" s="271">
        <v>2</v>
      </c>
      <c r="AA191" s="277">
        <f t="shared" ca="1" si="33"/>
        <v>0</v>
      </c>
      <c r="AB191" s="279" t="str">
        <f t="shared" ca="1" si="34"/>
        <v>0-2-0</v>
      </c>
    </row>
    <row r="192" spans="1:28" x14ac:dyDescent="0.25">
      <c r="A192" s="281" t="s">
        <v>74</v>
      </c>
      <c r="B192" s="281" t="s">
        <v>98</v>
      </c>
      <c r="C192" s="281" t="s">
        <v>266</v>
      </c>
      <c r="D192" s="281" t="s">
        <v>24</v>
      </c>
      <c r="E192" s="281">
        <v>2</v>
      </c>
      <c r="F192" s="222" t="str">
        <f t="shared" si="28"/>
        <v>RESPONSE-22</v>
      </c>
      <c r="G192" s="222">
        <f t="shared" si="29"/>
        <v>5</v>
      </c>
      <c r="H192" s="284">
        <f t="shared" ca="1" si="30"/>
        <v>0</v>
      </c>
      <c r="I192" s="284">
        <f t="shared" ca="1" si="31"/>
        <v>0</v>
      </c>
      <c r="J192" s="287" t="s">
        <v>266</v>
      </c>
      <c r="W192" s="278" t="str">
        <f ca="1">AB192&amp;"-"&amp;COUNTIF($AB$2:$AB192,$AB192)</f>
        <v>0-2-0-68</v>
      </c>
      <c r="X192" s="278" t="s">
        <v>266</v>
      </c>
      <c r="Y192" s="289">
        <f t="shared" ca="1" si="38"/>
        <v>0</v>
      </c>
      <c r="Z192" s="271">
        <v>2</v>
      </c>
      <c r="AA192" s="277">
        <f t="shared" ca="1" si="33"/>
        <v>0</v>
      </c>
      <c r="AB192" s="279" t="str">
        <f t="shared" ca="1" si="34"/>
        <v>0-2-0</v>
      </c>
    </row>
    <row r="193" spans="1:28" x14ac:dyDescent="0.25">
      <c r="A193" s="281" t="s">
        <v>74</v>
      </c>
      <c r="B193" s="281" t="s">
        <v>98</v>
      </c>
      <c r="C193" s="281" t="s">
        <v>267</v>
      </c>
      <c r="D193" s="281" t="s">
        <v>112</v>
      </c>
      <c r="E193" s="281">
        <v>2</v>
      </c>
      <c r="F193" s="222" t="str">
        <f t="shared" si="28"/>
        <v>RESPONSE-22</v>
      </c>
      <c r="G193" s="222">
        <f t="shared" si="29"/>
        <v>5</v>
      </c>
      <c r="H193" s="284">
        <f t="shared" ca="1" si="30"/>
        <v>0</v>
      </c>
      <c r="I193" s="284">
        <f t="shared" ca="1" si="31"/>
        <v>0</v>
      </c>
      <c r="J193" s="287" t="s">
        <v>267</v>
      </c>
      <c r="W193" s="278" t="str">
        <f ca="1">AB193&amp;"-"&amp;COUNTIF($AB$2:$AB193,$AB193)</f>
        <v>0-2-0-69</v>
      </c>
      <c r="X193" s="278" t="s">
        <v>267</v>
      </c>
      <c r="Y193" s="289">
        <f t="shared" ca="1" si="38"/>
        <v>0</v>
      </c>
      <c r="Z193" s="271">
        <v>2</v>
      </c>
      <c r="AA193" s="277">
        <f t="shared" ca="1" si="33"/>
        <v>0</v>
      </c>
      <c r="AB193" s="279" t="str">
        <f t="shared" ca="1" si="34"/>
        <v>0-2-0</v>
      </c>
    </row>
    <row r="194" spans="1:28" x14ac:dyDescent="0.25">
      <c r="A194" s="281" t="s">
        <v>74</v>
      </c>
      <c r="B194" s="281" t="s">
        <v>98</v>
      </c>
      <c r="C194" s="281" t="s">
        <v>268</v>
      </c>
      <c r="D194" s="281" t="s">
        <v>176</v>
      </c>
      <c r="E194" s="281">
        <v>2</v>
      </c>
      <c r="F194" s="222" t="str">
        <f t="shared" si="28"/>
        <v>RESPONSE-22</v>
      </c>
      <c r="G194" s="222">
        <f t="shared" ref="G194:G257" si="39">COUNTIF($F:$F,$F194)</f>
        <v>5</v>
      </c>
      <c r="H194" s="284">
        <f t="shared" ca="1" si="30"/>
        <v>0</v>
      </c>
      <c r="I194" s="284">
        <f t="shared" ca="1" si="31"/>
        <v>0</v>
      </c>
      <c r="J194" s="287" t="s">
        <v>268</v>
      </c>
      <c r="W194" s="278" t="str">
        <f ca="1">AB194&amp;"-"&amp;COUNTIF($AB$2:$AB194,$AB194)</f>
        <v>0-2-0-70</v>
      </c>
      <c r="X194" s="278" t="s">
        <v>268</v>
      </c>
      <c r="Y194" s="289">
        <f t="shared" ca="1" si="38"/>
        <v>0</v>
      </c>
      <c r="Z194" s="271">
        <v>2</v>
      </c>
      <c r="AA194" s="277">
        <f t="shared" ref="AA194:AA257" ca="1" si="40">VLOOKUP(X194,C:I,7,FALSE)</f>
        <v>0</v>
      </c>
      <c r="AB194" s="279" t="str">
        <f t="shared" ca="1" si="34"/>
        <v>0-2-0</v>
      </c>
    </row>
    <row r="195" spans="1:28" x14ac:dyDescent="0.25">
      <c r="A195" s="281" t="s">
        <v>74</v>
      </c>
      <c r="B195" s="281" t="s">
        <v>98</v>
      </c>
      <c r="C195" s="281" t="s">
        <v>269</v>
      </c>
      <c r="D195" s="281" t="s">
        <v>178</v>
      </c>
      <c r="E195" s="281">
        <v>3</v>
      </c>
      <c r="F195" s="222" t="str">
        <f t="shared" ref="F195:F258" si="41">CONCATENATE($B195,$E195)</f>
        <v>RESPONSE-23</v>
      </c>
      <c r="G195" s="222">
        <f t="shared" si="39"/>
        <v>2</v>
      </c>
      <c r="H195" s="284">
        <f t="shared" ref="H195:H258" ca="1" si="42">INT(LEFT(
VLOOKUP($D195, INDIRECT("'"&amp;$A195&amp;"'!"&amp;"$D:$H"), 5,FALSE), 1)
)</f>
        <v>0</v>
      </c>
      <c r="I195" s="284">
        <f t="shared" ref="I195:I258" ca="1" si="43">IFERROR(IF(H195&gt;2,1,0),0)</f>
        <v>0</v>
      </c>
      <c r="J195" s="287" t="s">
        <v>269</v>
      </c>
      <c r="W195" s="278" t="str">
        <f ca="1">AB195&amp;"-"&amp;COUNTIF($AB$2:$AB195,$AB195)</f>
        <v>0-3-0-47</v>
      </c>
      <c r="X195" s="278" t="s">
        <v>269</v>
      </c>
      <c r="Y195" s="289">
        <f t="shared" ca="1" si="38"/>
        <v>0</v>
      </c>
      <c r="Z195" s="271">
        <v>3</v>
      </c>
      <c r="AA195" s="277">
        <f t="shared" ca="1" si="40"/>
        <v>0</v>
      </c>
      <c r="AB195" s="279" t="str">
        <f t="shared" ca="1" si="34"/>
        <v>0-3-0</v>
      </c>
    </row>
    <row r="196" spans="1:28" x14ac:dyDescent="0.25">
      <c r="A196" s="281" t="s">
        <v>74</v>
      </c>
      <c r="B196" s="281" t="s">
        <v>98</v>
      </c>
      <c r="C196" s="281" t="s">
        <v>270</v>
      </c>
      <c r="D196" s="281" t="s">
        <v>209</v>
      </c>
      <c r="E196" s="281">
        <v>3</v>
      </c>
      <c r="F196" s="222" t="str">
        <f t="shared" si="41"/>
        <v>RESPONSE-23</v>
      </c>
      <c r="G196" s="222">
        <f t="shared" si="39"/>
        <v>2</v>
      </c>
      <c r="H196" s="284">
        <f t="shared" ca="1" si="42"/>
        <v>0</v>
      </c>
      <c r="I196" s="284">
        <f t="shared" ca="1" si="43"/>
        <v>0</v>
      </c>
      <c r="J196" s="287" t="s">
        <v>270</v>
      </c>
      <c r="W196" s="278" t="str">
        <f ca="1">AB196&amp;"-"&amp;COUNTIF($AB$2:$AB196,$AB196)</f>
        <v>0-3-0-48</v>
      </c>
      <c r="X196" s="278" t="s">
        <v>270</v>
      </c>
      <c r="Y196" s="289">
        <f t="shared" ca="1" si="38"/>
        <v>0</v>
      </c>
      <c r="Z196" s="271">
        <v>3</v>
      </c>
      <c r="AA196" s="277">
        <f t="shared" ca="1" si="40"/>
        <v>0</v>
      </c>
      <c r="AB196" s="279" t="str">
        <f t="shared" ref="AB196:AB259" ca="1" si="44">Y196&amp;"-"&amp;Z196&amp;"-"&amp;AA196</f>
        <v>0-3-0</v>
      </c>
    </row>
    <row r="197" spans="1:28" x14ac:dyDescent="0.25">
      <c r="A197" s="281" t="s">
        <v>74</v>
      </c>
      <c r="B197" s="281" t="s">
        <v>100</v>
      </c>
      <c r="C197" s="281" t="s">
        <v>271</v>
      </c>
      <c r="D197" s="281" t="s">
        <v>25</v>
      </c>
      <c r="E197" s="281">
        <v>1</v>
      </c>
      <c r="F197" s="222" t="str">
        <f t="shared" si="41"/>
        <v>RESPONSE-31</v>
      </c>
      <c r="G197" s="222">
        <f t="shared" si="39"/>
        <v>3</v>
      </c>
      <c r="H197" s="284">
        <f t="shared" ca="1" si="42"/>
        <v>0</v>
      </c>
      <c r="I197" s="284">
        <f t="shared" ca="1" si="43"/>
        <v>0</v>
      </c>
      <c r="J197" s="287" t="s">
        <v>271</v>
      </c>
      <c r="W197" s="278" t="str">
        <f ca="1">AB197&amp;"-"&amp;COUNTIF($AB$2:$AB197,$AB197)</f>
        <v>0-1-0-39</v>
      </c>
      <c r="X197" s="278" t="s">
        <v>271</v>
      </c>
      <c r="Y197" s="289">
        <f t="shared" ca="1" si="38"/>
        <v>0</v>
      </c>
      <c r="Z197" s="271">
        <v>1</v>
      </c>
      <c r="AA197" s="277">
        <f t="shared" ca="1" si="40"/>
        <v>0</v>
      </c>
      <c r="AB197" s="279" t="str">
        <f t="shared" ca="1" si="44"/>
        <v>0-1-0</v>
      </c>
    </row>
    <row r="198" spans="1:28" x14ac:dyDescent="0.25">
      <c r="A198" s="281" t="s">
        <v>74</v>
      </c>
      <c r="B198" s="281" t="s">
        <v>100</v>
      </c>
      <c r="C198" s="281" t="s">
        <v>272</v>
      </c>
      <c r="D198" s="281" t="s">
        <v>26</v>
      </c>
      <c r="E198" s="281">
        <v>1</v>
      </c>
      <c r="F198" s="222" t="str">
        <f t="shared" si="41"/>
        <v>RESPONSE-31</v>
      </c>
      <c r="G198" s="222">
        <f t="shared" si="39"/>
        <v>3</v>
      </c>
      <c r="H198" s="284">
        <f t="shared" ca="1" si="42"/>
        <v>0</v>
      </c>
      <c r="I198" s="284">
        <f t="shared" ca="1" si="43"/>
        <v>0</v>
      </c>
      <c r="J198" s="287" t="s">
        <v>272</v>
      </c>
      <c r="W198" s="278" t="str">
        <f ca="1">AB198&amp;"-"&amp;COUNTIF($AB$2:$AB198,$AB198)</f>
        <v>0-1-0-40</v>
      </c>
      <c r="X198" s="278" t="s">
        <v>272</v>
      </c>
      <c r="Y198" s="289">
        <f t="shared" ca="1" si="38"/>
        <v>0</v>
      </c>
      <c r="Z198" s="271">
        <v>1</v>
      </c>
      <c r="AA198" s="277">
        <f t="shared" ca="1" si="40"/>
        <v>0</v>
      </c>
      <c r="AB198" s="279" t="str">
        <f t="shared" ca="1" si="44"/>
        <v>0-1-0</v>
      </c>
    </row>
    <row r="199" spans="1:28" x14ac:dyDescent="0.25">
      <c r="A199" s="281" t="s">
        <v>74</v>
      </c>
      <c r="B199" s="281" t="s">
        <v>100</v>
      </c>
      <c r="C199" s="281" t="s">
        <v>273</v>
      </c>
      <c r="D199" s="281" t="s">
        <v>27</v>
      </c>
      <c r="E199" s="281">
        <v>1</v>
      </c>
      <c r="F199" s="222" t="str">
        <f t="shared" si="41"/>
        <v>RESPONSE-31</v>
      </c>
      <c r="G199" s="222">
        <f t="shared" si="39"/>
        <v>3</v>
      </c>
      <c r="H199" s="284">
        <f t="shared" ca="1" si="42"/>
        <v>0</v>
      </c>
      <c r="I199" s="284">
        <f t="shared" ca="1" si="43"/>
        <v>0</v>
      </c>
      <c r="J199" s="287" t="s">
        <v>273</v>
      </c>
      <c r="W199" s="278" t="str">
        <f ca="1">AB199&amp;"-"&amp;COUNTIF($AB$2:$AB199,$AB199)</f>
        <v>0-1-0-41</v>
      </c>
      <c r="X199" s="278" t="s">
        <v>273</v>
      </c>
      <c r="Y199" s="289">
        <f t="shared" ca="1" si="38"/>
        <v>0</v>
      </c>
      <c r="Z199" s="271">
        <v>1</v>
      </c>
      <c r="AA199" s="277">
        <f t="shared" ca="1" si="40"/>
        <v>0</v>
      </c>
      <c r="AB199" s="279" t="str">
        <f t="shared" ca="1" si="44"/>
        <v>0-1-0</v>
      </c>
    </row>
    <row r="200" spans="1:28" x14ac:dyDescent="0.25">
      <c r="A200" s="281" t="s">
        <v>74</v>
      </c>
      <c r="B200" s="281" t="s">
        <v>100</v>
      </c>
      <c r="C200" s="281" t="s">
        <v>274</v>
      </c>
      <c r="D200" s="281" t="s">
        <v>28</v>
      </c>
      <c r="E200" s="281">
        <v>2</v>
      </c>
      <c r="F200" s="222" t="str">
        <f t="shared" si="41"/>
        <v>RESPONSE-32</v>
      </c>
      <c r="G200" s="222">
        <f t="shared" si="39"/>
        <v>3</v>
      </c>
      <c r="H200" s="284">
        <f t="shared" ca="1" si="42"/>
        <v>0</v>
      </c>
      <c r="I200" s="284">
        <f t="shared" ca="1" si="43"/>
        <v>0</v>
      </c>
      <c r="J200" s="287" t="s">
        <v>274</v>
      </c>
      <c r="W200" s="278" t="str">
        <f ca="1">AB200&amp;"-"&amp;COUNTIF($AB$2:$AB200,$AB200)</f>
        <v>0-2-0-71</v>
      </c>
      <c r="X200" s="278" t="s">
        <v>274</v>
      </c>
      <c r="Y200" s="289">
        <f t="shared" ca="1" si="38"/>
        <v>0</v>
      </c>
      <c r="Z200" s="271">
        <v>2</v>
      </c>
      <c r="AA200" s="277">
        <f t="shared" ca="1" si="40"/>
        <v>0</v>
      </c>
      <c r="AB200" s="279" t="str">
        <f t="shared" ca="1" si="44"/>
        <v>0-2-0</v>
      </c>
    </row>
    <row r="201" spans="1:28" x14ac:dyDescent="0.25">
      <c r="A201" s="281" t="s">
        <v>74</v>
      </c>
      <c r="B201" s="281" t="s">
        <v>100</v>
      </c>
      <c r="C201" s="281" t="s">
        <v>275</v>
      </c>
      <c r="D201" s="281" t="s">
        <v>29</v>
      </c>
      <c r="E201" s="281">
        <v>2</v>
      </c>
      <c r="F201" s="222" t="str">
        <f t="shared" si="41"/>
        <v>RESPONSE-32</v>
      </c>
      <c r="G201" s="222">
        <f t="shared" si="39"/>
        <v>3</v>
      </c>
      <c r="H201" s="284">
        <f t="shared" ca="1" si="42"/>
        <v>0</v>
      </c>
      <c r="I201" s="284">
        <f t="shared" ca="1" si="43"/>
        <v>0</v>
      </c>
      <c r="J201" s="287" t="s">
        <v>275</v>
      </c>
      <c r="W201" s="278" t="str">
        <f ca="1">AB201&amp;"-"&amp;COUNTIF($AB$2:$AB201,$AB201)</f>
        <v>0-2-0-72</v>
      </c>
      <c r="X201" s="278" t="s">
        <v>275</v>
      </c>
      <c r="Y201" s="289">
        <f t="shared" ca="1" si="38"/>
        <v>0</v>
      </c>
      <c r="Z201" s="271">
        <v>2</v>
      </c>
      <c r="AA201" s="277">
        <f t="shared" ca="1" si="40"/>
        <v>0</v>
      </c>
      <c r="AB201" s="279" t="str">
        <f t="shared" ca="1" si="44"/>
        <v>0-2-0</v>
      </c>
    </row>
    <row r="202" spans="1:28" x14ac:dyDescent="0.25">
      <c r="A202" s="281" t="s">
        <v>74</v>
      </c>
      <c r="B202" s="281" t="s">
        <v>100</v>
      </c>
      <c r="C202" s="281" t="s">
        <v>276</v>
      </c>
      <c r="D202" s="281" t="s">
        <v>30</v>
      </c>
      <c r="E202" s="281">
        <v>2</v>
      </c>
      <c r="F202" s="222" t="str">
        <f t="shared" si="41"/>
        <v>RESPONSE-32</v>
      </c>
      <c r="G202" s="222">
        <f t="shared" si="39"/>
        <v>3</v>
      </c>
      <c r="H202" s="284">
        <f t="shared" ca="1" si="42"/>
        <v>0</v>
      </c>
      <c r="I202" s="284">
        <f t="shared" ca="1" si="43"/>
        <v>0</v>
      </c>
      <c r="J202" s="287" t="s">
        <v>276</v>
      </c>
      <c r="W202" s="278" t="str">
        <f ca="1">AB202&amp;"-"&amp;COUNTIF($AB$2:$AB202,$AB202)</f>
        <v>0-2-0-73</v>
      </c>
      <c r="X202" s="278" t="s">
        <v>276</v>
      </c>
      <c r="Y202" s="289">
        <f t="shared" ca="1" si="38"/>
        <v>0</v>
      </c>
      <c r="Z202" s="271">
        <v>2</v>
      </c>
      <c r="AA202" s="277">
        <f t="shared" ca="1" si="40"/>
        <v>0</v>
      </c>
      <c r="AB202" s="279" t="str">
        <f t="shared" ca="1" si="44"/>
        <v>0-2-0</v>
      </c>
    </row>
    <row r="203" spans="1:28" x14ac:dyDescent="0.25">
      <c r="A203" s="281" t="s">
        <v>74</v>
      </c>
      <c r="B203" s="281" t="s">
        <v>100</v>
      </c>
      <c r="C203" s="281" t="s">
        <v>277</v>
      </c>
      <c r="D203" s="281" t="s">
        <v>31</v>
      </c>
      <c r="E203" s="281">
        <v>3</v>
      </c>
      <c r="F203" s="222" t="str">
        <f t="shared" si="41"/>
        <v>RESPONSE-33</v>
      </c>
      <c r="G203" s="222">
        <f t="shared" si="39"/>
        <v>4</v>
      </c>
      <c r="H203" s="284">
        <f t="shared" ca="1" si="42"/>
        <v>0</v>
      </c>
      <c r="I203" s="284">
        <f t="shared" ca="1" si="43"/>
        <v>0</v>
      </c>
      <c r="J203" s="287" t="s">
        <v>277</v>
      </c>
      <c r="W203" s="278" t="str">
        <f ca="1">AB203&amp;"-"&amp;COUNTIF($AB$2:$AB203,$AB203)</f>
        <v>0-3-0-49</v>
      </c>
      <c r="X203" s="278" t="s">
        <v>277</v>
      </c>
      <c r="Y203" s="289">
        <f t="shared" ca="1" si="38"/>
        <v>0</v>
      </c>
      <c r="Z203" s="271">
        <v>3</v>
      </c>
      <c r="AA203" s="277">
        <f t="shared" ca="1" si="40"/>
        <v>0</v>
      </c>
      <c r="AB203" s="279" t="str">
        <f t="shared" ca="1" si="44"/>
        <v>0-3-0</v>
      </c>
    </row>
    <row r="204" spans="1:28" x14ac:dyDescent="0.25">
      <c r="A204" s="281" t="s">
        <v>74</v>
      </c>
      <c r="B204" s="281" t="s">
        <v>100</v>
      </c>
      <c r="C204" s="281" t="s">
        <v>278</v>
      </c>
      <c r="D204" s="281" t="s">
        <v>247</v>
      </c>
      <c r="E204" s="281">
        <v>3</v>
      </c>
      <c r="F204" s="222" t="str">
        <f t="shared" si="41"/>
        <v>RESPONSE-33</v>
      </c>
      <c r="G204" s="222">
        <f t="shared" si="39"/>
        <v>4</v>
      </c>
      <c r="H204" s="284">
        <f t="shared" ca="1" si="42"/>
        <v>0</v>
      </c>
      <c r="I204" s="284">
        <f t="shared" ca="1" si="43"/>
        <v>0</v>
      </c>
      <c r="J204" s="287" t="s">
        <v>278</v>
      </c>
      <c r="W204" s="278" t="str">
        <f ca="1">AB204&amp;"-"&amp;COUNTIF($AB$2:$AB204,$AB204)</f>
        <v>0-3-0-50</v>
      </c>
      <c r="X204" s="278" t="s">
        <v>278</v>
      </c>
      <c r="Y204" s="289">
        <f t="shared" ca="1" si="38"/>
        <v>0</v>
      </c>
      <c r="Z204" s="271">
        <v>3</v>
      </c>
      <c r="AA204" s="277">
        <f t="shared" ca="1" si="40"/>
        <v>0</v>
      </c>
      <c r="AB204" s="279" t="str">
        <f t="shared" ca="1" si="44"/>
        <v>0-3-0</v>
      </c>
    </row>
    <row r="205" spans="1:28" x14ac:dyDescent="0.25">
      <c r="A205" s="281" t="s">
        <v>74</v>
      </c>
      <c r="B205" s="281" t="s">
        <v>100</v>
      </c>
      <c r="C205" s="281" t="s">
        <v>279</v>
      </c>
      <c r="D205" s="281" t="s">
        <v>280</v>
      </c>
      <c r="E205" s="281">
        <v>3</v>
      </c>
      <c r="F205" s="222" t="str">
        <f t="shared" si="41"/>
        <v>RESPONSE-33</v>
      </c>
      <c r="G205" s="222">
        <f t="shared" si="39"/>
        <v>4</v>
      </c>
      <c r="H205" s="284">
        <f t="shared" ca="1" si="42"/>
        <v>0</v>
      </c>
      <c r="I205" s="284">
        <f t="shared" ca="1" si="43"/>
        <v>0</v>
      </c>
      <c r="J205" s="287" t="s">
        <v>279</v>
      </c>
      <c r="W205" s="278" t="str">
        <f ca="1">AB205&amp;"-"&amp;COUNTIF($AB$2:$AB205,$AB205)</f>
        <v>0-3-0-51</v>
      </c>
      <c r="X205" s="278" t="s">
        <v>279</v>
      </c>
      <c r="Y205" s="289">
        <f t="shared" ca="1" si="38"/>
        <v>0</v>
      </c>
      <c r="Z205" s="271">
        <v>3</v>
      </c>
      <c r="AA205" s="277">
        <f t="shared" ca="1" si="40"/>
        <v>0</v>
      </c>
      <c r="AB205" s="279" t="str">
        <f t="shared" ca="1" si="44"/>
        <v>0-3-0</v>
      </c>
    </row>
    <row r="206" spans="1:28" x14ac:dyDescent="0.25">
      <c r="A206" s="281" t="s">
        <v>74</v>
      </c>
      <c r="B206" s="281" t="s">
        <v>100</v>
      </c>
      <c r="C206" s="281" t="s">
        <v>281</v>
      </c>
      <c r="D206" s="281" t="s">
        <v>282</v>
      </c>
      <c r="E206" s="281">
        <v>3</v>
      </c>
      <c r="F206" s="222" t="str">
        <f t="shared" si="41"/>
        <v>RESPONSE-33</v>
      </c>
      <c r="G206" s="222">
        <f t="shared" si="39"/>
        <v>4</v>
      </c>
      <c r="H206" s="284">
        <f t="shared" ca="1" si="42"/>
        <v>0</v>
      </c>
      <c r="I206" s="284">
        <f t="shared" ca="1" si="43"/>
        <v>0</v>
      </c>
      <c r="J206" s="287" t="s">
        <v>281</v>
      </c>
      <c r="W206" s="278" t="str">
        <f ca="1">AB206&amp;"-"&amp;COUNTIF($AB$2:$AB206,$AB206)</f>
        <v>0-3-0-52</v>
      </c>
      <c r="X206" s="278" t="s">
        <v>281</v>
      </c>
      <c r="Y206" s="289">
        <f t="shared" ca="1" si="38"/>
        <v>0</v>
      </c>
      <c r="Z206" s="271">
        <v>3</v>
      </c>
      <c r="AA206" s="277">
        <f t="shared" ca="1" si="40"/>
        <v>0</v>
      </c>
      <c r="AB206" s="279" t="str">
        <f t="shared" ca="1" si="44"/>
        <v>0-3-0</v>
      </c>
    </row>
    <row r="207" spans="1:28" x14ac:dyDescent="0.25">
      <c r="A207" s="281" t="s">
        <v>74</v>
      </c>
      <c r="B207" s="281" t="s">
        <v>102</v>
      </c>
      <c r="C207" s="281" t="s">
        <v>283</v>
      </c>
      <c r="D207" s="281" t="s">
        <v>126</v>
      </c>
      <c r="E207" s="281">
        <v>2</v>
      </c>
      <c r="F207" s="222" t="str">
        <f t="shared" si="41"/>
        <v>RESPONSE-42</v>
      </c>
      <c r="G207" s="222">
        <f t="shared" si="39"/>
        <v>4</v>
      </c>
      <c r="H207" s="284">
        <f t="shared" ca="1" si="42"/>
        <v>0</v>
      </c>
      <c r="I207" s="284">
        <f t="shared" ca="1" si="43"/>
        <v>0</v>
      </c>
      <c r="J207" s="287" t="s">
        <v>283</v>
      </c>
      <c r="W207" s="278" t="str">
        <f ca="1">AB207&amp;"-"&amp;COUNTIF($AB$2:$AB207,$AB207)</f>
        <v>1-2-0-23</v>
      </c>
      <c r="X207" s="278" t="s">
        <v>283</v>
      </c>
      <c r="Y207" s="289">
        <f t="shared" ca="1" si="38"/>
        <v>1</v>
      </c>
      <c r="Z207" s="271">
        <v>2</v>
      </c>
      <c r="AA207" s="277">
        <f t="shared" ca="1" si="40"/>
        <v>0</v>
      </c>
      <c r="AB207" s="279" t="str">
        <f t="shared" ca="1" si="44"/>
        <v>1-2-0</v>
      </c>
    </row>
    <row r="208" spans="1:28" x14ac:dyDescent="0.25">
      <c r="A208" s="281" t="s">
        <v>74</v>
      </c>
      <c r="B208" s="281" t="s">
        <v>102</v>
      </c>
      <c r="C208" s="281" t="s">
        <v>284</v>
      </c>
      <c r="D208" s="281" t="s">
        <v>129</v>
      </c>
      <c r="E208" s="281">
        <v>2</v>
      </c>
      <c r="F208" s="222" t="str">
        <f t="shared" si="41"/>
        <v>RESPONSE-42</v>
      </c>
      <c r="G208" s="222">
        <f t="shared" si="39"/>
        <v>4</v>
      </c>
      <c r="H208" s="284">
        <f t="shared" ca="1" si="42"/>
        <v>0</v>
      </c>
      <c r="I208" s="284">
        <f t="shared" ca="1" si="43"/>
        <v>0</v>
      </c>
      <c r="J208" s="287" t="s">
        <v>284</v>
      </c>
      <c r="W208" s="278" t="str">
        <f ca="1">AB208&amp;"-"&amp;COUNTIF($AB$2:$AB208,$AB208)</f>
        <v>1-2-0-24</v>
      </c>
      <c r="X208" s="278" t="s">
        <v>284</v>
      </c>
      <c r="Y208" s="289">
        <f t="shared" ca="1" si="38"/>
        <v>1</v>
      </c>
      <c r="Z208" s="271">
        <v>2</v>
      </c>
      <c r="AA208" s="277">
        <f t="shared" ca="1" si="40"/>
        <v>0</v>
      </c>
      <c r="AB208" s="279" t="str">
        <f t="shared" ca="1" si="44"/>
        <v>1-2-0</v>
      </c>
    </row>
    <row r="209" spans="1:28" x14ac:dyDescent="0.25">
      <c r="A209" s="281" t="s">
        <v>74</v>
      </c>
      <c r="B209" s="281" t="s">
        <v>102</v>
      </c>
      <c r="C209" s="281" t="s">
        <v>285</v>
      </c>
      <c r="D209" s="281" t="s">
        <v>132</v>
      </c>
      <c r="E209" s="281">
        <v>2</v>
      </c>
      <c r="F209" s="222" t="str">
        <f t="shared" si="41"/>
        <v>RESPONSE-42</v>
      </c>
      <c r="G209" s="222">
        <f t="shared" si="39"/>
        <v>4</v>
      </c>
      <c r="H209" s="284">
        <f t="shared" ca="1" si="42"/>
        <v>0</v>
      </c>
      <c r="I209" s="284">
        <f t="shared" ca="1" si="43"/>
        <v>0</v>
      </c>
      <c r="J209" s="287" t="s">
        <v>285</v>
      </c>
      <c r="W209" s="278" t="str">
        <f ca="1">AB209&amp;"-"&amp;COUNTIF($AB$2:$AB209,$AB209)</f>
        <v>1-2-0-25</v>
      </c>
      <c r="X209" s="278" t="s">
        <v>285</v>
      </c>
      <c r="Y209" s="289">
        <f t="shared" ca="1" si="38"/>
        <v>1</v>
      </c>
      <c r="Z209" s="271">
        <v>2</v>
      </c>
      <c r="AA209" s="277">
        <f t="shared" ca="1" si="40"/>
        <v>0</v>
      </c>
      <c r="AB209" s="279" t="str">
        <f t="shared" ca="1" si="44"/>
        <v>1-2-0</v>
      </c>
    </row>
    <row r="210" spans="1:28" x14ac:dyDescent="0.25">
      <c r="A210" s="281" t="s">
        <v>74</v>
      </c>
      <c r="B210" s="281" t="s">
        <v>102</v>
      </c>
      <c r="C210" s="281" t="s">
        <v>286</v>
      </c>
      <c r="D210" s="281" t="s">
        <v>135</v>
      </c>
      <c r="E210" s="281">
        <v>2</v>
      </c>
      <c r="F210" s="222" t="str">
        <f t="shared" si="41"/>
        <v>RESPONSE-42</v>
      </c>
      <c r="G210" s="222">
        <f t="shared" si="39"/>
        <v>4</v>
      </c>
      <c r="H210" s="284">
        <f t="shared" ca="1" si="42"/>
        <v>0</v>
      </c>
      <c r="I210" s="284">
        <f t="shared" ca="1" si="43"/>
        <v>0</v>
      </c>
      <c r="J210" s="287" t="s">
        <v>286</v>
      </c>
      <c r="W210" s="278" t="str">
        <f ca="1">AB210&amp;"-"&amp;COUNTIF($AB$2:$AB210,$AB210)</f>
        <v>1-2-0-26</v>
      </c>
      <c r="X210" s="278" t="s">
        <v>286</v>
      </c>
      <c r="Y210" s="289">
        <f t="shared" ca="1" si="38"/>
        <v>1</v>
      </c>
      <c r="Z210" s="271">
        <v>2</v>
      </c>
      <c r="AA210" s="277">
        <f t="shared" ca="1" si="40"/>
        <v>0</v>
      </c>
      <c r="AB210" s="279" t="str">
        <f t="shared" ca="1" si="44"/>
        <v>1-2-0</v>
      </c>
    </row>
    <row r="211" spans="1:28" x14ac:dyDescent="0.25">
      <c r="A211" s="281" t="s">
        <v>74</v>
      </c>
      <c r="B211" s="281" t="s">
        <v>102</v>
      </c>
      <c r="C211" s="281" t="s">
        <v>287</v>
      </c>
      <c r="D211" s="281" t="s">
        <v>138</v>
      </c>
      <c r="E211" s="281">
        <v>3</v>
      </c>
      <c r="F211" s="222" t="str">
        <f t="shared" si="41"/>
        <v>RESPONSE-43</v>
      </c>
      <c r="G211" s="222">
        <f t="shared" si="39"/>
        <v>3</v>
      </c>
      <c r="H211" s="284">
        <f t="shared" ca="1" si="42"/>
        <v>0</v>
      </c>
      <c r="I211" s="284">
        <f t="shared" ca="1" si="43"/>
        <v>0</v>
      </c>
      <c r="J211" s="287" t="s">
        <v>287</v>
      </c>
      <c r="W211" s="278" t="str">
        <f ca="1">AB211&amp;"-"&amp;COUNTIF($AB$2:$AB211,$AB211)</f>
        <v>1-3-0-18</v>
      </c>
      <c r="X211" s="278" t="s">
        <v>287</v>
      </c>
      <c r="Y211" s="289">
        <f t="shared" ca="1" si="38"/>
        <v>1</v>
      </c>
      <c r="Z211" s="271">
        <v>3</v>
      </c>
      <c r="AA211" s="277">
        <f t="shared" ca="1" si="40"/>
        <v>0</v>
      </c>
      <c r="AB211" s="279" t="str">
        <f t="shared" ca="1" si="44"/>
        <v>1-3-0</v>
      </c>
    </row>
    <row r="212" spans="1:28" x14ac:dyDescent="0.25">
      <c r="A212" s="281" t="s">
        <v>74</v>
      </c>
      <c r="B212" s="281" t="s">
        <v>102</v>
      </c>
      <c r="C212" s="281" t="s">
        <v>288</v>
      </c>
      <c r="D212" s="281" t="s">
        <v>140</v>
      </c>
      <c r="E212" s="281">
        <v>3</v>
      </c>
      <c r="F212" s="222" t="str">
        <f t="shared" si="41"/>
        <v>RESPONSE-43</v>
      </c>
      <c r="G212" s="222">
        <f t="shared" si="39"/>
        <v>3</v>
      </c>
      <c r="H212" s="284">
        <f t="shared" ca="1" si="42"/>
        <v>0</v>
      </c>
      <c r="I212" s="284">
        <f t="shared" ca="1" si="43"/>
        <v>0</v>
      </c>
      <c r="J212" s="287" t="s">
        <v>288</v>
      </c>
      <c r="W212" s="278" t="str">
        <f ca="1">AB212&amp;"-"&amp;COUNTIF($AB$2:$AB212,$AB212)</f>
        <v>1-3-0-19</v>
      </c>
      <c r="X212" s="278" t="s">
        <v>288</v>
      </c>
      <c r="Y212" s="289">
        <f t="shared" ca="1" si="38"/>
        <v>1</v>
      </c>
      <c r="Z212" s="271">
        <v>3</v>
      </c>
      <c r="AA212" s="277">
        <f t="shared" ca="1" si="40"/>
        <v>0</v>
      </c>
      <c r="AB212" s="279" t="str">
        <f t="shared" ca="1" si="44"/>
        <v>1-3-0</v>
      </c>
    </row>
    <row r="213" spans="1:28" x14ac:dyDescent="0.25">
      <c r="A213" s="281" t="s">
        <v>74</v>
      </c>
      <c r="B213" s="281" t="s">
        <v>102</v>
      </c>
      <c r="C213" s="281" t="s">
        <v>289</v>
      </c>
      <c r="D213" s="281" t="s">
        <v>255</v>
      </c>
      <c r="E213" s="281">
        <v>3</v>
      </c>
      <c r="F213" s="222" t="str">
        <f t="shared" si="41"/>
        <v>RESPONSE-43</v>
      </c>
      <c r="G213" s="222">
        <f t="shared" si="39"/>
        <v>3</v>
      </c>
      <c r="H213" s="284">
        <f t="shared" ca="1" si="42"/>
        <v>0</v>
      </c>
      <c r="I213" s="284">
        <f t="shared" ca="1" si="43"/>
        <v>0</v>
      </c>
      <c r="J213" s="287" t="s">
        <v>289</v>
      </c>
      <c r="W213" s="278" t="str">
        <f ca="1">AB213&amp;"-"&amp;COUNTIF($AB$2:$AB213,$AB213)</f>
        <v>1-3-0-20</v>
      </c>
      <c r="X213" s="278" t="s">
        <v>289</v>
      </c>
      <c r="Y213" s="289">
        <f t="shared" ca="1" si="38"/>
        <v>1</v>
      </c>
      <c r="Z213" s="271">
        <v>3</v>
      </c>
      <c r="AA213" s="277">
        <f t="shared" ca="1" si="40"/>
        <v>0</v>
      </c>
      <c r="AB213" s="279" t="str">
        <f t="shared" ca="1" si="44"/>
        <v>1-3-0</v>
      </c>
    </row>
    <row r="214" spans="1:28" x14ac:dyDescent="0.25">
      <c r="A214" s="282" t="s">
        <v>0</v>
      </c>
      <c r="B214" s="282" t="s">
        <v>43</v>
      </c>
      <c r="C214" s="282" t="s">
        <v>44</v>
      </c>
      <c r="D214" s="282" t="s">
        <v>7</v>
      </c>
      <c r="E214" s="282">
        <v>1</v>
      </c>
      <c r="F214" s="222" t="str">
        <f t="shared" si="41"/>
        <v>RISK-11</v>
      </c>
      <c r="G214" s="222">
        <f t="shared" si="39"/>
        <v>2</v>
      </c>
      <c r="H214" s="284">
        <f t="shared" ca="1" si="42"/>
        <v>0</v>
      </c>
      <c r="I214" s="284">
        <f t="shared" ca="1" si="43"/>
        <v>0</v>
      </c>
      <c r="J214" s="287" t="s">
        <v>44</v>
      </c>
      <c r="W214" s="278" t="str">
        <f ca="1">AB214&amp;"-"&amp;COUNTIF($AB$2:$AB214,$AB214)</f>
        <v>0-1-0-42</v>
      </c>
      <c r="X214" s="278" t="s">
        <v>44</v>
      </c>
      <c r="Y214" s="289">
        <f t="shared" ref="Y214:Y245" ca="1" si="45">VLOOKUP(LEFT($X214,LEN($X214)-1),$K:$O,5,FALSE)</f>
        <v>0</v>
      </c>
      <c r="Z214" s="271">
        <v>1</v>
      </c>
      <c r="AA214" s="277">
        <f t="shared" ca="1" si="40"/>
        <v>0</v>
      </c>
      <c r="AB214" s="279" t="str">
        <f t="shared" ca="1" si="44"/>
        <v>0-1-0</v>
      </c>
    </row>
    <row r="215" spans="1:28" x14ac:dyDescent="0.25">
      <c r="A215" s="283" t="s">
        <v>0</v>
      </c>
      <c r="B215" s="283" t="s">
        <v>43</v>
      </c>
      <c r="C215" s="283" t="s">
        <v>45</v>
      </c>
      <c r="D215" s="283" t="s">
        <v>9</v>
      </c>
      <c r="E215" s="283">
        <v>1</v>
      </c>
      <c r="F215" s="222" t="str">
        <f t="shared" si="41"/>
        <v>RISK-11</v>
      </c>
      <c r="G215" s="222">
        <f t="shared" si="39"/>
        <v>2</v>
      </c>
      <c r="H215" s="284">
        <f t="shared" ca="1" si="42"/>
        <v>0</v>
      </c>
      <c r="I215" s="284">
        <f t="shared" ca="1" si="43"/>
        <v>0</v>
      </c>
      <c r="J215" s="287" t="s">
        <v>45</v>
      </c>
      <c r="W215" s="278" t="str">
        <f ca="1">AB215&amp;"-"&amp;COUNTIF($AB$2:$AB215,$AB215)</f>
        <v>0-1-0-43</v>
      </c>
      <c r="X215" s="278" t="s">
        <v>45</v>
      </c>
      <c r="Y215" s="289">
        <f t="shared" ca="1" si="45"/>
        <v>0</v>
      </c>
      <c r="Z215" s="271">
        <v>1</v>
      </c>
      <c r="AA215" s="277">
        <f t="shared" ca="1" si="40"/>
        <v>0</v>
      </c>
      <c r="AB215" s="279" t="str">
        <f t="shared" ca="1" si="44"/>
        <v>0-1-0</v>
      </c>
    </row>
    <row r="216" spans="1:28" x14ac:dyDescent="0.25">
      <c r="A216" s="283" t="s">
        <v>0</v>
      </c>
      <c r="B216" s="283" t="s">
        <v>43</v>
      </c>
      <c r="C216" s="283" t="s">
        <v>46</v>
      </c>
      <c r="D216" s="283" t="s">
        <v>10</v>
      </c>
      <c r="E216" s="283">
        <v>2</v>
      </c>
      <c r="F216" s="222" t="str">
        <f t="shared" si="41"/>
        <v>RISK-12</v>
      </c>
      <c r="G216" s="222">
        <f t="shared" si="39"/>
        <v>4</v>
      </c>
      <c r="H216" s="284">
        <f t="shared" ca="1" si="42"/>
        <v>0</v>
      </c>
      <c r="I216" s="284">
        <f t="shared" ca="1" si="43"/>
        <v>0</v>
      </c>
      <c r="J216" s="287" t="s">
        <v>46</v>
      </c>
      <c r="W216" s="278" t="str">
        <f ca="1">AB216&amp;"-"&amp;COUNTIF($AB$2:$AB216,$AB216)</f>
        <v>0-2-0-74</v>
      </c>
      <c r="X216" s="278" t="s">
        <v>46</v>
      </c>
      <c r="Y216" s="289">
        <f t="shared" ca="1" si="45"/>
        <v>0</v>
      </c>
      <c r="Z216" s="271">
        <v>2</v>
      </c>
      <c r="AA216" s="277">
        <f t="shared" ca="1" si="40"/>
        <v>0</v>
      </c>
      <c r="AB216" s="279" t="str">
        <f t="shared" ca="1" si="44"/>
        <v>0-2-0</v>
      </c>
    </row>
    <row r="217" spans="1:28" x14ac:dyDescent="0.25">
      <c r="A217" s="283" t="s">
        <v>0</v>
      </c>
      <c r="B217" s="283" t="s">
        <v>43</v>
      </c>
      <c r="C217" s="283" t="s">
        <v>48</v>
      </c>
      <c r="D217" s="283" t="s">
        <v>11</v>
      </c>
      <c r="E217" s="283">
        <v>2</v>
      </c>
      <c r="F217" s="222" t="str">
        <f t="shared" si="41"/>
        <v>RISK-12</v>
      </c>
      <c r="G217" s="222">
        <f t="shared" si="39"/>
        <v>4</v>
      </c>
      <c r="H217" s="284">
        <f t="shared" ca="1" si="42"/>
        <v>0</v>
      </c>
      <c r="I217" s="284">
        <f t="shared" ca="1" si="43"/>
        <v>0</v>
      </c>
      <c r="J217" s="287" t="s">
        <v>48</v>
      </c>
      <c r="W217" s="278" t="str">
        <f ca="1">AB217&amp;"-"&amp;COUNTIF($AB$2:$AB217,$AB217)</f>
        <v>0-2-0-75</v>
      </c>
      <c r="X217" s="278" t="s">
        <v>48</v>
      </c>
      <c r="Y217" s="289">
        <f t="shared" ca="1" si="45"/>
        <v>0</v>
      </c>
      <c r="Z217" s="271">
        <v>2</v>
      </c>
      <c r="AA217" s="277">
        <f t="shared" ca="1" si="40"/>
        <v>0</v>
      </c>
      <c r="AB217" s="279" t="str">
        <f t="shared" ca="1" si="44"/>
        <v>0-2-0</v>
      </c>
    </row>
    <row r="218" spans="1:28" x14ac:dyDescent="0.25">
      <c r="A218" s="283" t="s">
        <v>0</v>
      </c>
      <c r="B218" s="283" t="s">
        <v>43</v>
      </c>
      <c r="C218" s="283" t="s">
        <v>50</v>
      </c>
      <c r="D218" s="283" t="s">
        <v>12</v>
      </c>
      <c r="E218" s="283">
        <v>2</v>
      </c>
      <c r="F218" s="222" t="str">
        <f t="shared" si="41"/>
        <v>RISK-12</v>
      </c>
      <c r="G218" s="222">
        <f t="shared" si="39"/>
        <v>4</v>
      </c>
      <c r="H218" s="284">
        <f t="shared" ca="1" si="42"/>
        <v>0</v>
      </c>
      <c r="I218" s="284">
        <f t="shared" ca="1" si="43"/>
        <v>0</v>
      </c>
      <c r="J218" s="287" t="s">
        <v>50</v>
      </c>
      <c r="W218" s="278" t="str">
        <f ca="1">AB218&amp;"-"&amp;COUNTIF($AB$2:$AB218,$AB218)</f>
        <v>0-2-0-76</v>
      </c>
      <c r="X218" s="278" t="s">
        <v>50</v>
      </c>
      <c r="Y218" s="289">
        <f t="shared" ca="1" si="45"/>
        <v>0</v>
      </c>
      <c r="Z218" s="271">
        <v>2</v>
      </c>
      <c r="AA218" s="277">
        <f t="shared" ca="1" si="40"/>
        <v>0</v>
      </c>
      <c r="AB218" s="279" t="str">
        <f t="shared" ca="1" si="44"/>
        <v>0-2-0</v>
      </c>
    </row>
    <row r="219" spans="1:28" x14ac:dyDescent="0.25">
      <c r="A219" s="281" t="s">
        <v>0</v>
      </c>
      <c r="B219" s="281" t="s">
        <v>43</v>
      </c>
      <c r="C219" s="281" t="s">
        <v>52</v>
      </c>
      <c r="D219" s="281" t="s">
        <v>13</v>
      </c>
      <c r="E219" s="281">
        <v>2</v>
      </c>
      <c r="F219" s="222" t="str">
        <f t="shared" si="41"/>
        <v>RISK-12</v>
      </c>
      <c r="G219" s="222">
        <f t="shared" si="39"/>
        <v>4</v>
      </c>
      <c r="H219" s="284">
        <f t="shared" ca="1" si="42"/>
        <v>0</v>
      </c>
      <c r="I219" s="284">
        <f t="shared" ca="1" si="43"/>
        <v>0</v>
      </c>
      <c r="J219" s="287" t="s">
        <v>52</v>
      </c>
      <c r="W219" s="278" t="str">
        <f ca="1">AB219&amp;"-"&amp;COUNTIF($AB$2:$AB219,$AB219)</f>
        <v>0-2-0-77</v>
      </c>
      <c r="X219" s="278" t="s">
        <v>52</v>
      </c>
      <c r="Y219" s="289">
        <f t="shared" ca="1" si="45"/>
        <v>0</v>
      </c>
      <c r="Z219" s="271">
        <v>2</v>
      </c>
      <c r="AA219" s="277">
        <f t="shared" ca="1" si="40"/>
        <v>0</v>
      </c>
      <c r="AB219" s="279" t="str">
        <f t="shared" ca="1" si="44"/>
        <v>0-2-0</v>
      </c>
    </row>
    <row r="220" spans="1:28" x14ac:dyDescent="0.25">
      <c r="A220" s="281" t="s">
        <v>0</v>
      </c>
      <c r="B220" s="281" t="s">
        <v>43</v>
      </c>
      <c r="C220" s="281" t="s">
        <v>54</v>
      </c>
      <c r="D220" s="281" t="s">
        <v>14</v>
      </c>
      <c r="E220" s="281">
        <v>3</v>
      </c>
      <c r="F220" s="222" t="str">
        <f t="shared" si="41"/>
        <v>RISK-13</v>
      </c>
      <c r="G220" s="222">
        <f t="shared" si="39"/>
        <v>4</v>
      </c>
      <c r="H220" s="284">
        <f t="shared" ca="1" si="42"/>
        <v>0</v>
      </c>
      <c r="I220" s="284">
        <f t="shared" ca="1" si="43"/>
        <v>0</v>
      </c>
      <c r="J220" s="287" t="s">
        <v>54</v>
      </c>
      <c r="W220" s="278" t="str">
        <f ca="1">AB220&amp;"-"&amp;COUNTIF($AB$2:$AB220,$AB220)</f>
        <v>0-3-0-53</v>
      </c>
      <c r="X220" s="278" t="s">
        <v>54</v>
      </c>
      <c r="Y220" s="289">
        <f t="shared" ca="1" si="45"/>
        <v>0</v>
      </c>
      <c r="Z220" s="271">
        <v>3</v>
      </c>
      <c r="AA220" s="277">
        <f t="shared" ca="1" si="40"/>
        <v>0</v>
      </c>
      <c r="AB220" s="279" t="str">
        <f t="shared" ca="1" si="44"/>
        <v>0-3-0</v>
      </c>
    </row>
    <row r="221" spans="1:28" x14ac:dyDescent="0.25">
      <c r="A221" s="281" t="s">
        <v>0</v>
      </c>
      <c r="B221" s="281" t="s">
        <v>43</v>
      </c>
      <c r="C221" s="281" t="s">
        <v>56</v>
      </c>
      <c r="D221" s="281" t="s">
        <v>15</v>
      </c>
      <c r="E221" s="281">
        <v>3</v>
      </c>
      <c r="F221" s="222" t="str">
        <f t="shared" si="41"/>
        <v>RISK-13</v>
      </c>
      <c r="G221" s="222">
        <f t="shared" si="39"/>
        <v>4</v>
      </c>
      <c r="H221" s="284">
        <f t="shared" ca="1" si="42"/>
        <v>0</v>
      </c>
      <c r="I221" s="284">
        <f t="shared" ca="1" si="43"/>
        <v>0</v>
      </c>
      <c r="J221" s="287" t="s">
        <v>56</v>
      </c>
      <c r="W221" s="278" t="str">
        <f ca="1">AB221&amp;"-"&amp;COUNTIF($AB$2:$AB221,$AB221)</f>
        <v>0-3-0-54</v>
      </c>
      <c r="X221" s="278" t="s">
        <v>56</v>
      </c>
      <c r="Y221" s="289">
        <f t="shared" ca="1" si="45"/>
        <v>0</v>
      </c>
      <c r="Z221" s="271">
        <v>3</v>
      </c>
      <c r="AA221" s="277">
        <f t="shared" ca="1" si="40"/>
        <v>0</v>
      </c>
      <c r="AB221" s="279" t="str">
        <f t="shared" ca="1" si="44"/>
        <v>0-3-0</v>
      </c>
    </row>
    <row r="222" spans="1:28" x14ac:dyDescent="0.25">
      <c r="A222" s="281" t="s">
        <v>0</v>
      </c>
      <c r="B222" s="281" t="s">
        <v>43</v>
      </c>
      <c r="C222" s="281" t="s">
        <v>58</v>
      </c>
      <c r="D222" s="281" t="s">
        <v>16</v>
      </c>
      <c r="E222" s="281">
        <v>3</v>
      </c>
      <c r="F222" s="222" t="str">
        <f t="shared" si="41"/>
        <v>RISK-13</v>
      </c>
      <c r="G222" s="222">
        <f t="shared" si="39"/>
        <v>4</v>
      </c>
      <c r="H222" s="284">
        <f t="shared" ca="1" si="42"/>
        <v>0</v>
      </c>
      <c r="I222" s="284">
        <f t="shared" ca="1" si="43"/>
        <v>0</v>
      </c>
      <c r="J222" s="287" t="s">
        <v>58</v>
      </c>
      <c r="W222" s="278" t="str">
        <f ca="1">AB222&amp;"-"&amp;COUNTIF($AB$2:$AB222,$AB222)</f>
        <v>0-3-0-55</v>
      </c>
      <c r="X222" s="278" t="s">
        <v>58</v>
      </c>
      <c r="Y222" s="289">
        <f t="shared" ca="1" si="45"/>
        <v>0</v>
      </c>
      <c r="Z222" s="271">
        <v>3</v>
      </c>
      <c r="AA222" s="277">
        <f t="shared" ca="1" si="40"/>
        <v>0</v>
      </c>
      <c r="AB222" s="279" t="str">
        <f t="shared" ca="1" si="44"/>
        <v>0-3-0</v>
      </c>
    </row>
    <row r="223" spans="1:28" x14ac:dyDescent="0.25">
      <c r="A223" s="281" t="s">
        <v>0</v>
      </c>
      <c r="B223" s="281" t="s">
        <v>43</v>
      </c>
      <c r="C223" s="281" t="s">
        <v>61</v>
      </c>
      <c r="D223" s="281" t="s">
        <v>18</v>
      </c>
      <c r="E223" s="281">
        <v>3</v>
      </c>
      <c r="F223" s="222" t="str">
        <f t="shared" si="41"/>
        <v>RISK-13</v>
      </c>
      <c r="G223" s="222">
        <f t="shared" si="39"/>
        <v>4</v>
      </c>
      <c r="H223" s="284">
        <f t="shared" ca="1" si="42"/>
        <v>0</v>
      </c>
      <c r="I223" s="284">
        <f t="shared" ca="1" si="43"/>
        <v>0</v>
      </c>
      <c r="J223" s="287" t="s">
        <v>61</v>
      </c>
      <c r="W223" s="278" t="str">
        <f ca="1">AB223&amp;"-"&amp;COUNTIF($AB$2:$AB223,$AB223)</f>
        <v>0-3-0-56</v>
      </c>
      <c r="X223" s="278" t="s">
        <v>61</v>
      </c>
      <c r="Y223" s="289">
        <f t="shared" ca="1" si="45"/>
        <v>0</v>
      </c>
      <c r="Z223" s="271">
        <v>3</v>
      </c>
      <c r="AA223" s="277">
        <f t="shared" ca="1" si="40"/>
        <v>0</v>
      </c>
      <c r="AB223" s="279" t="str">
        <f t="shared" ca="1" si="44"/>
        <v>0-3-0</v>
      </c>
    </row>
    <row r="224" spans="1:28" x14ac:dyDescent="0.25">
      <c r="A224" s="281" t="s">
        <v>0</v>
      </c>
      <c r="B224" s="281" t="s">
        <v>47</v>
      </c>
      <c r="C224" s="281" t="s">
        <v>63</v>
      </c>
      <c r="D224" s="281" t="s">
        <v>20</v>
      </c>
      <c r="E224" s="281">
        <v>2</v>
      </c>
      <c r="F224" s="222" t="str">
        <f t="shared" si="41"/>
        <v>RISK-22</v>
      </c>
      <c r="G224" s="222">
        <f t="shared" si="39"/>
        <v>2</v>
      </c>
      <c r="H224" s="284">
        <f t="shared" ca="1" si="42"/>
        <v>0</v>
      </c>
      <c r="I224" s="284">
        <f t="shared" ca="1" si="43"/>
        <v>0</v>
      </c>
      <c r="J224" s="287" t="s">
        <v>63</v>
      </c>
      <c r="W224" s="278" t="str">
        <f ca="1">AB224&amp;"-"&amp;COUNTIF($AB$2:$AB224,$AB224)</f>
        <v>1-2-0-27</v>
      </c>
      <c r="X224" s="278" t="s">
        <v>63</v>
      </c>
      <c r="Y224" s="289">
        <f t="shared" ca="1" si="45"/>
        <v>1</v>
      </c>
      <c r="Z224" s="271">
        <v>2</v>
      </c>
      <c r="AA224" s="277">
        <f t="shared" ca="1" si="40"/>
        <v>0</v>
      </c>
      <c r="AB224" s="279" t="str">
        <f t="shared" ca="1" si="44"/>
        <v>1-2-0</v>
      </c>
    </row>
    <row r="225" spans="1:28" x14ac:dyDescent="0.25">
      <c r="A225" s="281" t="s">
        <v>0</v>
      </c>
      <c r="B225" s="281" t="s">
        <v>47</v>
      </c>
      <c r="C225" s="281" t="s">
        <v>65</v>
      </c>
      <c r="D225" s="281" t="s">
        <v>21</v>
      </c>
      <c r="E225" s="281">
        <v>2</v>
      </c>
      <c r="F225" s="222" t="str">
        <f t="shared" si="41"/>
        <v>RISK-22</v>
      </c>
      <c r="G225" s="222">
        <f t="shared" si="39"/>
        <v>2</v>
      </c>
      <c r="H225" s="284">
        <f t="shared" ca="1" si="42"/>
        <v>0</v>
      </c>
      <c r="I225" s="284">
        <f t="shared" ca="1" si="43"/>
        <v>0</v>
      </c>
      <c r="J225" s="287" t="s">
        <v>65</v>
      </c>
      <c r="W225" s="278" t="str">
        <f ca="1">AB225&amp;"-"&amp;COUNTIF($AB$2:$AB225,$AB225)</f>
        <v>1-2-0-28</v>
      </c>
      <c r="X225" s="278" t="s">
        <v>65</v>
      </c>
      <c r="Y225" s="289">
        <f t="shared" ca="1" si="45"/>
        <v>1</v>
      </c>
      <c r="Z225" s="271">
        <v>2</v>
      </c>
      <c r="AA225" s="277">
        <f t="shared" ca="1" si="40"/>
        <v>0</v>
      </c>
      <c r="AB225" s="279" t="str">
        <f t="shared" ca="1" si="44"/>
        <v>1-2-0</v>
      </c>
    </row>
    <row r="226" spans="1:28" x14ac:dyDescent="0.25">
      <c r="A226" s="281" t="s">
        <v>0</v>
      </c>
      <c r="B226" s="281" t="s">
        <v>47</v>
      </c>
      <c r="C226" s="281" t="s">
        <v>67</v>
      </c>
      <c r="D226" s="281" t="s">
        <v>22</v>
      </c>
      <c r="E226" s="281">
        <v>3</v>
      </c>
      <c r="F226" s="222" t="str">
        <f t="shared" si="41"/>
        <v>RISK-23</v>
      </c>
      <c r="G226" s="222">
        <f t="shared" si="39"/>
        <v>3</v>
      </c>
      <c r="H226" s="284">
        <f t="shared" ca="1" si="42"/>
        <v>0</v>
      </c>
      <c r="I226" s="284">
        <f t="shared" ca="1" si="43"/>
        <v>0</v>
      </c>
      <c r="J226" s="287" t="s">
        <v>67</v>
      </c>
      <c r="W226" s="278" t="str">
        <f ca="1">AB226&amp;"-"&amp;COUNTIF($AB$2:$AB226,$AB226)</f>
        <v>1-3-0-21</v>
      </c>
      <c r="X226" s="278" t="s">
        <v>67</v>
      </c>
      <c r="Y226" s="289">
        <f t="shared" ca="1" si="45"/>
        <v>1</v>
      </c>
      <c r="Z226" s="271">
        <v>3</v>
      </c>
      <c r="AA226" s="277">
        <f t="shared" ca="1" si="40"/>
        <v>0</v>
      </c>
      <c r="AB226" s="279" t="str">
        <f t="shared" ca="1" si="44"/>
        <v>1-3-0</v>
      </c>
    </row>
    <row r="227" spans="1:28" x14ac:dyDescent="0.25">
      <c r="A227" s="281" t="s">
        <v>0</v>
      </c>
      <c r="B227" s="281" t="s">
        <v>47</v>
      </c>
      <c r="C227" s="281" t="s">
        <v>70</v>
      </c>
      <c r="D227" s="281" t="s">
        <v>23</v>
      </c>
      <c r="E227" s="281">
        <v>3</v>
      </c>
      <c r="F227" s="222" t="str">
        <f t="shared" si="41"/>
        <v>RISK-23</v>
      </c>
      <c r="G227" s="222">
        <f t="shared" si="39"/>
        <v>3</v>
      </c>
      <c r="H227" s="284">
        <f t="shared" ca="1" si="42"/>
        <v>0</v>
      </c>
      <c r="I227" s="284">
        <f t="shared" ca="1" si="43"/>
        <v>0</v>
      </c>
      <c r="J227" s="287" t="s">
        <v>70</v>
      </c>
      <c r="W227" s="278" t="str">
        <f ca="1">AB227&amp;"-"&amp;COUNTIF($AB$2:$AB227,$AB227)</f>
        <v>1-3-0-22</v>
      </c>
      <c r="X227" s="278" t="s">
        <v>70</v>
      </c>
      <c r="Y227" s="289">
        <f t="shared" ca="1" si="45"/>
        <v>1</v>
      </c>
      <c r="Z227" s="271">
        <v>3</v>
      </c>
      <c r="AA227" s="277">
        <f t="shared" ca="1" si="40"/>
        <v>0</v>
      </c>
      <c r="AB227" s="279" t="str">
        <f t="shared" ca="1" si="44"/>
        <v>1-3-0</v>
      </c>
    </row>
    <row r="228" spans="1:28" x14ac:dyDescent="0.25">
      <c r="A228" s="281" t="s">
        <v>0</v>
      </c>
      <c r="B228" s="281" t="s">
        <v>47</v>
      </c>
      <c r="C228" s="281" t="s">
        <v>73</v>
      </c>
      <c r="D228" s="281" t="s">
        <v>24</v>
      </c>
      <c r="E228" s="281">
        <v>3</v>
      </c>
      <c r="F228" s="222" t="str">
        <f t="shared" si="41"/>
        <v>RISK-23</v>
      </c>
      <c r="G228" s="222">
        <f t="shared" si="39"/>
        <v>3</v>
      </c>
      <c r="H228" s="284">
        <f t="shared" ca="1" si="42"/>
        <v>0</v>
      </c>
      <c r="I228" s="284">
        <f t="shared" ca="1" si="43"/>
        <v>0</v>
      </c>
      <c r="J228" s="287" t="s">
        <v>73</v>
      </c>
      <c r="W228" s="278" t="str">
        <f ca="1">AB228&amp;"-"&amp;COUNTIF($AB$2:$AB228,$AB228)</f>
        <v>1-3-0-23</v>
      </c>
      <c r="X228" s="278" t="s">
        <v>73</v>
      </c>
      <c r="Y228" s="289">
        <f t="shared" ca="1" si="45"/>
        <v>1</v>
      </c>
      <c r="Z228" s="271">
        <v>3</v>
      </c>
      <c r="AA228" s="277">
        <f t="shared" ca="1" si="40"/>
        <v>0</v>
      </c>
      <c r="AB228" s="279" t="str">
        <f t="shared" ca="1" si="44"/>
        <v>1-3-0</v>
      </c>
    </row>
    <row r="229" spans="1:28" x14ac:dyDescent="0.25">
      <c r="A229" s="281" t="s">
        <v>0</v>
      </c>
      <c r="B229" s="281" t="s">
        <v>49</v>
      </c>
      <c r="C229" s="281" t="s">
        <v>75</v>
      </c>
      <c r="D229" s="281" t="s">
        <v>25</v>
      </c>
      <c r="E229" s="281">
        <v>2</v>
      </c>
      <c r="F229" s="222" t="str">
        <f t="shared" si="41"/>
        <v>RISK-32</v>
      </c>
      <c r="G229" s="222">
        <f t="shared" si="39"/>
        <v>4</v>
      </c>
      <c r="H229" s="284">
        <f t="shared" ca="1" si="42"/>
        <v>0</v>
      </c>
      <c r="I229" s="284">
        <f t="shared" ca="1" si="43"/>
        <v>0</v>
      </c>
      <c r="J229" s="287" t="s">
        <v>75</v>
      </c>
      <c r="W229" s="278" t="str">
        <f ca="1">AB229&amp;"-"&amp;COUNTIF($AB$2:$AB229,$AB229)</f>
        <v>1-2-0-29</v>
      </c>
      <c r="X229" s="278" t="s">
        <v>75</v>
      </c>
      <c r="Y229" s="289">
        <f t="shared" ca="1" si="45"/>
        <v>1</v>
      </c>
      <c r="Z229" s="271">
        <v>2</v>
      </c>
      <c r="AA229" s="277">
        <f t="shared" ca="1" si="40"/>
        <v>0</v>
      </c>
      <c r="AB229" s="279" t="str">
        <f t="shared" ca="1" si="44"/>
        <v>1-2-0</v>
      </c>
    </row>
    <row r="230" spans="1:28" x14ac:dyDescent="0.25">
      <c r="A230" s="281" t="s">
        <v>0</v>
      </c>
      <c r="B230" s="281" t="s">
        <v>49</v>
      </c>
      <c r="C230" s="281" t="s">
        <v>78</v>
      </c>
      <c r="D230" s="281" t="s">
        <v>26</v>
      </c>
      <c r="E230" s="281">
        <v>2</v>
      </c>
      <c r="F230" s="222" t="str">
        <f t="shared" si="41"/>
        <v>RISK-32</v>
      </c>
      <c r="G230" s="222">
        <f t="shared" si="39"/>
        <v>4</v>
      </c>
      <c r="H230" s="284">
        <f t="shared" ca="1" si="42"/>
        <v>0</v>
      </c>
      <c r="I230" s="284">
        <f t="shared" ca="1" si="43"/>
        <v>0</v>
      </c>
      <c r="J230" s="287" t="s">
        <v>78</v>
      </c>
      <c r="W230" s="278" t="str">
        <f ca="1">AB230&amp;"-"&amp;COUNTIF($AB$2:$AB230,$AB230)</f>
        <v>1-2-0-30</v>
      </c>
      <c r="X230" s="278" t="s">
        <v>78</v>
      </c>
      <c r="Y230" s="289">
        <f t="shared" ca="1" si="45"/>
        <v>1</v>
      </c>
      <c r="Z230" s="271">
        <v>2</v>
      </c>
      <c r="AA230" s="277">
        <f t="shared" ca="1" si="40"/>
        <v>0</v>
      </c>
      <c r="AB230" s="279" t="str">
        <f t="shared" ca="1" si="44"/>
        <v>1-2-0</v>
      </c>
    </row>
    <row r="231" spans="1:28" x14ac:dyDescent="0.25">
      <c r="A231" s="281" t="s">
        <v>0</v>
      </c>
      <c r="B231" s="281" t="s">
        <v>49</v>
      </c>
      <c r="C231" s="281" t="s">
        <v>81</v>
      </c>
      <c r="D231" s="281" t="s">
        <v>27</v>
      </c>
      <c r="E231" s="281">
        <v>2</v>
      </c>
      <c r="F231" s="222" t="str">
        <f t="shared" si="41"/>
        <v>RISK-32</v>
      </c>
      <c r="G231" s="222">
        <f t="shared" si="39"/>
        <v>4</v>
      </c>
      <c r="H231" s="284">
        <f t="shared" ca="1" si="42"/>
        <v>0</v>
      </c>
      <c r="I231" s="284">
        <f t="shared" ca="1" si="43"/>
        <v>0</v>
      </c>
      <c r="J231" s="287" t="s">
        <v>81</v>
      </c>
      <c r="W231" s="278" t="str">
        <f ca="1">AB231&amp;"-"&amp;COUNTIF($AB$2:$AB231,$AB231)</f>
        <v>1-2-0-31</v>
      </c>
      <c r="X231" s="278" t="s">
        <v>81</v>
      </c>
      <c r="Y231" s="289">
        <f t="shared" ca="1" si="45"/>
        <v>1</v>
      </c>
      <c r="Z231" s="271">
        <v>2</v>
      </c>
      <c r="AA231" s="277">
        <f t="shared" ca="1" si="40"/>
        <v>0</v>
      </c>
      <c r="AB231" s="279" t="str">
        <f t="shared" ca="1" si="44"/>
        <v>1-2-0</v>
      </c>
    </row>
    <row r="232" spans="1:28" x14ac:dyDescent="0.25">
      <c r="A232" s="281" t="s">
        <v>0</v>
      </c>
      <c r="B232" s="281" t="s">
        <v>49</v>
      </c>
      <c r="C232" s="281" t="s">
        <v>84</v>
      </c>
      <c r="D232" s="281" t="s">
        <v>28</v>
      </c>
      <c r="E232" s="281">
        <v>2</v>
      </c>
      <c r="F232" s="222" t="str">
        <f t="shared" si="41"/>
        <v>RISK-32</v>
      </c>
      <c r="G232" s="222">
        <f t="shared" si="39"/>
        <v>4</v>
      </c>
      <c r="H232" s="284">
        <f t="shared" ca="1" si="42"/>
        <v>0</v>
      </c>
      <c r="I232" s="284">
        <f t="shared" ca="1" si="43"/>
        <v>0</v>
      </c>
      <c r="J232" s="287" t="s">
        <v>84</v>
      </c>
      <c r="W232" s="278" t="str">
        <f ca="1">AB232&amp;"-"&amp;COUNTIF($AB$2:$AB232,$AB232)</f>
        <v>1-2-0-32</v>
      </c>
      <c r="X232" s="278" t="s">
        <v>84</v>
      </c>
      <c r="Y232" s="289">
        <f t="shared" ca="1" si="45"/>
        <v>1</v>
      </c>
      <c r="Z232" s="271">
        <v>2</v>
      </c>
      <c r="AA232" s="277">
        <f t="shared" ca="1" si="40"/>
        <v>0</v>
      </c>
      <c r="AB232" s="279" t="str">
        <f t="shared" ca="1" si="44"/>
        <v>1-2-0</v>
      </c>
    </row>
    <row r="233" spans="1:28" x14ac:dyDescent="0.25">
      <c r="A233" s="281" t="s">
        <v>0</v>
      </c>
      <c r="B233" s="281" t="s">
        <v>49</v>
      </c>
      <c r="C233" s="281" t="s">
        <v>86</v>
      </c>
      <c r="D233" s="281" t="s">
        <v>29</v>
      </c>
      <c r="E233" s="281">
        <v>3</v>
      </c>
      <c r="F233" s="222" t="str">
        <f t="shared" si="41"/>
        <v>RISK-33</v>
      </c>
      <c r="G233" s="222">
        <f t="shared" si="39"/>
        <v>3</v>
      </c>
      <c r="H233" s="284">
        <f t="shared" ca="1" si="42"/>
        <v>0</v>
      </c>
      <c r="I233" s="284">
        <f t="shared" ca="1" si="43"/>
        <v>0</v>
      </c>
      <c r="J233" s="287" t="s">
        <v>86</v>
      </c>
      <c r="W233" s="278" t="str">
        <f ca="1">AB233&amp;"-"&amp;COUNTIF($AB$2:$AB233,$AB233)</f>
        <v>1-3-0-24</v>
      </c>
      <c r="X233" s="278" t="s">
        <v>86</v>
      </c>
      <c r="Y233" s="289">
        <f t="shared" ca="1" si="45"/>
        <v>1</v>
      </c>
      <c r="Z233" s="271">
        <v>3</v>
      </c>
      <c r="AA233" s="277">
        <f t="shared" ca="1" si="40"/>
        <v>0</v>
      </c>
      <c r="AB233" s="279" t="str">
        <f t="shared" ca="1" si="44"/>
        <v>1-3-0</v>
      </c>
    </row>
    <row r="234" spans="1:28" x14ac:dyDescent="0.25">
      <c r="A234" s="281" t="s">
        <v>0</v>
      </c>
      <c r="B234" s="281" t="s">
        <v>49</v>
      </c>
      <c r="C234" s="281" t="s">
        <v>88</v>
      </c>
      <c r="D234" s="281" t="s">
        <v>30</v>
      </c>
      <c r="E234" s="281">
        <v>3</v>
      </c>
      <c r="F234" s="222" t="str">
        <f t="shared" si="41"/>
        <v>RISK-33</v>
      </c>
      <c r="G234" s="222">
        <f t="shared" si="39"/>
        <v>3</v>
      </c>
      <c r="H234" s="284">
        <f t="shared" ca="1" si="42"/>
        <v>0</v>
      </c>
      <c r="I234" s="284">
        <f t="shared" ca="1" si="43"/>
        <v>0</v>
      </c>
      <c r="J234" s="287" t="s">
        <v>88</v>
      </c>
      <c r="W234" s="278" t="str">
        <f ca="1">AB234&amp;"-"&amp;COUNTIF($AB$2:$AB234,$AB234)</f>
        <v>1-3-0-25</v>
      </c>
      <c r="X234" s="278" t="s">
        <v>88</v>
      </c>
      <c r="Y234" s="289">
        <f t="shared" ca="1" si="45"/>
        <v>1</v>
      </c>
      <c r="Z234" s="271">
        <v>3</v>
      </c>
      <c r="AA234" s="277">
        <f t="shared" ca="1" si="40"/>
        <v>0</v>
      </c>
      <c r="AB234" s="279" t="str">
        <f t="shared" ca="1" si="44"/>
        <v>1-3-0</v>
      </c>
    </row>
    <row r="235" spans="1:28" x14ac:dyDescent="0.25">
      <c r="A235" s="281" t="s">
        <v>0</v>
      </c>
      <c r="B235" s="281" t="s">
        <v>49</v>
      </c>
      <c r="C235" s="281" t="s">
        <v>90</v>
      </c>
      <c r="D235" s="281" t="s">
        <v>31</v>
      </c>
      <c r="E235" s="281">
        <v>3</v>
      </c>
      <c r="F235" s="222" t="str">
        <f t="shared" si="41"/>
        <v>RISK-33</v>
      </c>
      <c r="G235" s="222">
        <f t="shared" si="39"/>
        <v>3</v>
      </c>
      <c r="H235" s="284">
        <f t="shared" ca="1" si="42"/>
        <v>0</v>
      </c>
      <c r="I235" s="284">
        <f t="shared" ca="1" si="43"/>
        <v>0</v>
      </c>
      <c r="J235" s="287" t="s">
        <v>90</v>
      </c>
      <c r="W235" s="278" t="str">
        <f ca="1">AB235&amp;"-"&amp;COUNTIF($AB$2:$AB235,$AB235)</f>
        <v>1-3-0-26</v>
      </c>
      <c r="X235" s="278" t="s">
        <v>90</v>
      </c>
      <c r="Y235" s="289">
        <f t="shared" ca="1" si="45"/>
        <v>1</v>
      </c>
      <c r="Z235" s="271">
        <v>3</v>
      </c>
      <c r="AA235" s="277">
        <f t="shared" ca="1" si="40"/>
        <v>0</v>
      </c>
      <c r="AB235" s="279" t="str">
        <f t="shared" ca="1" si="44"/>
        <v>1-3-0</v>
      </c>
    </row>
    <row r="236" spans="1:28" x14ac:dyDescent="0.25">
      <c r="A236" s="281" t="s">
        <v>72</v>
      </c>
      <c r="B236" s="281" t="s">
        <v>87</v>
      </c>
      <c r="C236" s="281" t="s">
        <v>225</v>
      </c>
      <c r="D236" s="281" t="s">
        <v>7</v>
      </c>
      <c r="E236" s="281">
        <v>1</v>
      </c>
      <c r="F236" s="222" t="str">
        <f t="shared" si="41"/>
        <v>SITUATION-11</v>
      </c>
      <c r="G236" s="222">
        <f t="shared" si="39"/>
        <v>1</v>
      </c>
      <c r="H236" s="284">
        <f t="shared" ca="1" si="42"/>
        <v>0</v>
      </c>
      <c r="I236" s="284">
        <f t="shared" ca="1" si="43"/>
        <v>0</v>
      </c>
      <c r="J236" s="287" t="s">
        <v>225</v>
      </c>
      <c r="W236" s="278" t="str">
        <f ca="1">AB236&amp;"-"&amp;COUNTIF($AB$2:$AB236,$AB236)</f>
        <v>0-1-0-44</v>
      </c>
      <c r="X236" s="278" t="s">
        <v>225</v>
      </c>
      <c r="Y236" s="289">
        <f t="shared" ca="1" si="45"/>
        <v>0</v>
      </c>
      <c r="Z236" s="271">
        <v>1</v>
      </c>
      <c r="AA236" s="277">
        <f t="shared" ca="1" si="40"/>
        <v>0</v>
      </c>
      <c r="AB236" s="279" t="str">
        <f t="shared" ca="1" si="44"/>
        <v>0-1-0</v>
      </c>
    </row>
    <row r="237" spans="1:28" x14ac:dyDescent="0.25">
      <c r="A237" s="281" t="s">
        <v>72</v>
      </c>
      <c r="B237" s="281" t="s">
        <v>87</v>
      </c>
      <c r="C237" s="281" t="s">
        <v>226</v>
      </c>
      <c r="D237" s="281" t="s">
        <v>9</v>
      </c>
      <c r="E237" s="281">
        <v>2</v>
      </c>
      <c r="F237" s="222" t="str">
        <f t="shared" si="41"/>
        <v>SITUATION-12</v>
      </c>
      <c r="G237" s="222">
        <f t="shared" si="39"/>
        <v>2</v>
      </c>
      <c r="H237" s="284">
        <f t="shared" ca="1" si="42"/>
        <v>0</v>
      </c>
      <c r="I237" s="284">
        <f t="shared" ca="1" si="43"/>
        <v>0</v>
      </c>
      <c r="J237" s="287" t="s">
        <v>226</v>
      </c>
      <c r="W237" s="278" t="str">
        <f ca="1">AB237&amp;"-"&amp;COUNTIF($AB$2:$AB237,$AB237)</f>
        <v>0-2-0-78</v>
      </c>
      <c r="X237" s="278" t="s">
        <v>226</v>
      </c>
      <c r="Y237" s="289">
        <f t="shared" ca="1" si="45"/>
        <v>0</v>
      </c>
      <c r="Z237" s="271">
        <v>2</v>
      </c>
      <c r="AA237" s="277">
        <f t="shared" ca="1" si="40"/>
        <v>0</v>
      </c>
      <c r="AB237" s="279" t="str">
        <f t="shared" ca="1" si="44"/>
        <v>0-2-0</v>
      </c>
    </row>
    <row r="238" spans="1:28" x14ac:dyDescent="0.25">
      <c r="A238" s="281" t="s">
        <v>72</v>
      </c>
      <c r="B238" s="281" t="s">
        <v>87</v>
      </c>
      <c r="C238" s="281" t="s">
        <v>227</v>
      </c>
      <c r="D238" s="281" t="s">
        <v>10</v>
      </c>
      <c r="E238" s="281">
        <v>2</v>
      </c>
      <c r="F238" s="222" t="str">
        <f t="shared" si="41"/>
        <v>SITUATION-12</v>
      </c>
      <c r="G238" s="222">
        <f t="shared" si="39"/>
        <v>2</v>
      </c>
      <c r="H238" s="284">
        <f t="shared" ca="1" si="42"/>
        <v>0</v>
      </c>
      <c r="I238" s="284">
        <f t="shared" ca="1" si="43"/>
        <v>0</v>
      </c>
      <c r="J238" s="287" t="s">
        <v>227</v>
      </c>
      <c r="W238" s="278" t="str">
        <f ca="1">AB238&amp;"-"&amp;COUNTIF($AB$2:$AB238,$AB238)</f>
        <v>0-2-0-79</v>
      </c>
      <c r="X238" s="278" t="s">
        <v>227</v>
      </c>
      <c r="Y238" s="289">
        <f t="shared" ca="1" si="45"/>
        <v>0</v>
      </c>
      <c r="Z238" s="271">
        <v>2</v>
      </c>
      <c r="AA238" s="277">
        <f t="shared" ca="1" si="40"/>
        <v>0</v>
      </c>
      <c r="AB238" s="279" t="str">
        <f t="shared" ca="1" si="44"/>
        <v>0-2-0</v>
      </c>
    </row>
    <row r="239" spans="1:28" x14ac:dyDescent="0.25">
      <c r="A239" s="281" t="s">
        <v>72</v>
      </c>
      <c r="B239" s="281" t="s">
        <v>87</v>
      </c>
      <c r="C239" s="281" t="s">
        <v>228</v>
      </c>
      <c r="D239" s="281" t="s">
        <v>11</v>
      </c>
      <c r="E239" s="281">
        <v>3</v>
      </c>
      <c r="F239" s="222" t="str">
        <f t="shared" si="41"/>
        <v>SITUATION-13</v>
      </c>
      <c r="G239" s="222">
        <f t="shared" si="39"/>
        <v>1</v>
      </c>
      <c r="H239" s="284">
        <f t="shared" ca="1" si="42"/>
        <v>0</v>
      </c>
      <c r="I239" s="284">
        <f t="shared" ca="1" si="43"/>
        <v>0</v>
      </c>
      <c r="J239" s="287" t="s">
        <v>228</v>
      </c>
      <c r="W239" s="278" t="str">
        <f ca="1">AB239&amp;"-"&amp;COUNTIF($AB$2:$AB239,$AB239)</f>
        <v>0-3-0-57</v>
      </c>
      <c r="X239" s="278" t="s">
        <v>228</v>
      </c>
      <c r="Y239" s="289">
        <f t="shared" ca="1" si="45"/>
        <v>0</v>
      </c>
      <c r="Z239" s="271">
        <v>3</v>
      </c>
      <c r="AA239" s="277">
        <f t="shared" ca="1" si="40"/>
        <v>0</v>
      </c>
      <c r="AB239" s="279" t="str">
        <f t="shared" ca="1" si="44"/>
        <v>0-3-0</v>
      </c>
    </row>
    <row r="240" spans="1:28" x14ac:dyDescent="0.25">
      <c r="A240" s="281" t="s">
        <v>72</v>
      </c>
      <c r="B240" s="281" t="s">
        <v>89</v>
      </c>
      <c r="C240" s="281" t="s">
        <v>229</v>
      </c>
      <c r="D240" s="281" t="s">
        <v>20</v>
      </c>
      <c r="E240" s="281">
        <v>1</v>
      </c>
      <c r="F240" s="222" t="str">
        <f t="shared" si="41"/>
        <v>SITUATION-21</v>
      </c>
      <c r="G240" s="222">
        <f t="shared" si="39"/>
        <v>2</v>
      </c>
      <c r="H240" s="284">
        <f t="shared" ca="1" si="42"/>
        <v>0</v>
      </c>
      <c r="I240" s="284">
        <f t="shared" ca="1" si="43"/>
        <v>0</v>
      </c>
      <c r="J240" s="287" t="s">
        <v>229</v>
      </c>
      <c r="W240" s="278" t="str">
        <f ca="1">AB240&amp;"-"&amp;COUNTIF($AB$2:$AB240,$AB240)</f>
        <v>0-1-0-45</v>
      </c>
      <c r="X240" s="278" t="s">
        <v>229</v>
      </c>
      <c r="Y240" s="289">
        <f t="shared" ca="1" si="45"/>
        <v>0</v>
      </c>
      <c r="Z240" s="271">
        <v>1</v>
      </c>
      <c r="AA240" s="277">
        <f t="shared" ca="1" si="40"/>
        <v>0</v>
      </c>
      <c r="AB240" s="279" t="str">
        <f t="shared" ca="1" si="44"/>
        <v>0-1-0</v>
      </c>
    </row>
    <row r="241" spans="1:28" x14ac:dyDescent="0.25">
      <c r="A241" s="281" t="s">
        <v>72</v>
      </c>
      <c r="B241" s="281" t="s">
        <v>89</v>
      </c>
      <c r="C241" s="281" t="s">
        <v>230</v>
      </c>
      <c r="D241" s="281" t="s">
        <v>21</v>
      </c>
      <c r="E241" s="281">
        <v>1</v>
      </c>
      <c r="F241" s="222" t="str">
        <f t="shared" si="41"/>
        <v>SITUATION-21</v>
      </c>
      <c r="G241" s="222">
        <f t="shared" si="39"/>
        <v>2</v>
      </c>
      <c r="H241" s="284">
        <f t="shared" ca="1" si="42"/>
        <v>0</v>
      </c>
      <c r="I241" s="284">
        <f t="shared" ca="1" si="43"/>
        <v>0</v>
      </c>
      <c r="J241" s="287" t="s">
        <v>230</v>
      </c>
      <c r="W241" s="278" t="str">
        <f ca="1">AB241&amp;"-"&amp;COUNTIF($AB$2:$AB241,$AB241)</f>
        <v>0-1-0-46</v>
      </c>
      <c r="X241" s="278" t="s">
        <v>230</v>
      </c>
      <c r="Y241" s="289">
        <f t="shared" ca="1" si="45"/>
        <v>0</v>
      </c>
      <c r="Z241" s="271">
        <v>1</v>
      </c>
      <c r="AA241" s="277">
        <f t="shared" ca="1" si="40"/>
        <v>0</v>
      </c>
      <c r="AB241" s="279" t="str">
        <f t="shared" ca="1" si="44"/>
        <v>0-1-0</v>
      </c>
    </row>
    <row r="242" spans="1:28" x14ac:dyDescent="0.25">
      <c r="A242" s="281" t="s">
        <v>72</v>
      </c>
      <c r="B242" s="281" t="s">
        <v>89</v>
      </c>
      <c r="C242" s="281" t="s">
        <v>231</v>
      </c>
      <c r="D242" s="281" t="s">
        <v>22</v>
      </c>
      <c r="E242" s="281">
        <v>2</v>
      </c>
      <c r="F242" s="222" t="str">
        <f t="shared" si="41"/>
        <v>SITUATION-22</v>
      </c>
      <c r="G242" s="222">
        <f t="shared" si="39"/>
        <v>4</v>
      </c>
      <c r="H242" s="284">
        <f t="shared" ca="1" si="42"/>
        <v>0</v>
      </c>
      <c r="I242" s="284">
        <f t="shared" ca="1" si="43"/>
        <v>0</v>
      </c>
      <c r="J242" s="287" t="s">
        <v>231</v>
      </c>
      <c r="W242" s="278" t="str">
        <f ca="1">AB242&amp;"-"&amp;COUNTIF($AB$2:$AB242,$AB242)</f>
        <v>0-2-0-80</v>
      </c>
      <c r="X242" s="278" t="s">
        <v>231</v>
      </c>
      <c r="Y242" s="289">
        <f t="shared" ca="1" si="45"/>
        <v>0</v>
      </c>
      <c r="Z242" s="271">
        <v>2</v>
      </c>
      <c r="AA242" s="277">
        <f t="shared" ca="1" si="40"/>
        <v>0</v>
      </c>
      <c r="AB242" s="279" t="str">
        <f t="shared" ca="1" si="44"/>
        <v>0-2-0</v>
      </c>
    </row>
    <row r="243" spans="1:28" x14ac:dyDescent="0.25">
      <c r="A243" s="281" t="s">
        <v>72</v>
      </c>
      <c r="B243" s="281" t="s">
        <v>89</v>
      </c>
      <c r="C243" s="281" t="s">
        <v>232</v>
      </c>
      <c r="D243" s="281" t="s">
        <v>23</v>
      </c>
      <c r="E243" s="281">
        <v>2</v>
      </c>
      <c r="F243" s="222" t="str">
        <f t="shared" si="41"/>
        <v>SITUATION-22</v>
      </c>
      <c r="G243" s="222">
        <f t="shared" si="39"/>
        <v>4</v>
      </c>
      <c r="H243" s="284">
        <f t="shared" ca="1" si="42"/>
        <v>0</v>
      </c>
      <c r="I243" s="284">
        <f t="shared" ca="1" si="43"/>
        <v>0</v>
      </c>
      <c r="J243" s="287" t="s">
        <v>232</v>
      </c>
      <c r="W243" s="278" t="str">
        <f ca="1">AB243&amp;"-"&amp;COUNTIF($AB$2:$AB243,$AB243)</f>
        <v>0-2-0-81</v>
      </c>
      <c r="X243" s="278" t="s">
        <v>232</v>
      </c>
      <c r="Y243" s="289">
        <f t="shared" ca="1" si="45"/>
        <v>0</v>
      </c>
      <c r="Z243" s="271">
        <v>2</v>
      </c>
      <c r="AA243" s="277">
        <f t="shared" ca="1" si="40"/>
        <v>0</v>
      </c>
      <c r="AB243" s="279" t="str">
        <f t="shared" ca="1" si="44"/>
        <v>0-2-0</v>
      </c>
    </row>
    <row r="244" spans="1:28" x14ac:dyDescent="0.25">
      <c r="A244" s="281" t="s">
        <v>72</v>
      </c>
      <c r="B244" s="281" t="s">
        <v>89</v>
      </c>
      <c r="C244" s="281" t="s">
        <v>233</v>
      </c>
      <c r="D244" s="281" t="s">
        <v>24</v>
      </c>
      <c r="E244" s="281">
        <v>2</v>
      </c>
      <c r="F244" s="222" t="str">
        <f t="shared" si="41"/>
        <v>SITUATION-22</v>
      </c>
      <c r="G244" s="222">
        <f t="shared" si="39"/>
        <v>4</v>
      </c>
      <c r="H244" s="284">
        <f t="shared" ca="1" si="42"/>
        <v>0</v>
      </c>
      <c r="I244" s="284">
        <f t="shared" ca="1" si="43"/>
        <v>0</v>
      </c>
      <c r="J244" s="287" t="s">
        <v>233</v>
      </c>
      <c r="W244" s="278" t="str">
        <f ca="1">AB244&amp;"-"&amp;COUNTIF($AB$2:$AB244,$AB244)</f>
        <v>0-2-0-82</v>
      </c>
      <c r="X244" s="278" t="s">
        <v>233</v>
      </c>
      <c r="Y244" s="289">
        <f t="shared" ca="1" si="45"/>
        <v>0</v>
      </c>
      <c r="Z244" s="271">
        <v>2</v>
      </c>
      <c r="AA244" s="277">
        <f t="shared" ca="1" si="40"/>
        <v>0</v>
      </c>
      <c r="AB244" s="279" t="str">
        <f t="shared" ca="1" si="44"/>
        <v>0-2-0</v>
      </c>
    </row>
    <row r="245" spans="1:28" x14ac:dyDescent="0.25">
      <c r="A245" s="281" t="s">
        <v>72</v>
      </c>
      <c r="B245" s="281" t="s">
        <v>89</v>
      </c>
      <c r="C245" s="281" t="s">
        <v>234</v>
      </c>
      <c r="D245" s="281" t="s">
        <v>112</v>
      </c>
      <c r="E245" s="281">
        <v>2</v>
      </c>
      <c r="F245" s="222" t="str">
        <f t="shared" si="41"/>
        <v>SITUATION-22</v>
      </c>
      <c r="G245" s="222">
        <f t="shared" si="39"/>
        <v>4</v>
      </c>
      <c r="H245" s="284">
        <f t="shared" ca="1" si="42"/>
        <v>0</v>
      </c>
      <c r="I245" s="284">
        <f t="shared" ca="1" si="43"/>
        <v>0</v>
      </c>
      <c r="J245" s="287" t="s">
        <v>234</v>
      </c>
      <c r="W245" s="278" t="str">
        <f ca="1">AB245&amp;"-"&amp;COUNTIF($AB$2:$AB245,$AB245)</f>
        <v>0-2-0-83</v>
      </c>
      <c r="X245" s="278" t="s">
        <v>234</v>
      </c>
      <c r="Y245" s="289">
        <f t="shared" ca="1" si="45"/>
        <v>0</v>
      </c>
      <c r="Z245" s="271">
        <v>2</v>
      </c>
      <c r="AA245" s="277">
        <f t="shared" ca="1" si="40"/>
        <v>0</v>
      </c>
      <c r="AB245" s="279" t="str">
        <f t="shared" ca="1" si="44"/>
        <v>0-2-0</v>
      </c>
    </row>
    <row r="246" spans="1:28" x14ac:dyDescent="0.25">
      <c r="A246" s="281" t="s">
        <v>72</v>
      </c>
      <c r="B246" s="281" t="s">
        <v>89</v>
      </c>
      <c r="C246" s="281" t="s">
        <v>235</v>
      </c>
      <c r="D246" s="281" t="s">
        <v>176</v>
      </c>
      <c r="E246" s="281">
        <v>3</v>
      </c>
      <c r="F246" s="222" t="str">
        <f t="shared" si="41"/>
        <v>SITUATION-23</v>
      </c>
      <c r="G246" s="222">
        <f t="shared" si="39"/>
        <v>4</v>
      </c>
      <c r="H246" s="284">
        <f t="shared" ca="1" si="42"/>
        <v>0</v>
      </c>
      <c r="I246" s="284">
        <f t="shared" ca="1" si="43"/>
        <v>0</v>
      </c>
      <c r="J246" s="287" t="s">
        <v>235</v>
      </c>
      <c r="W246" s="278" t="str">
        <f ca="1">AB246&amp;"-"&amp;COUNTIF($AB$2:$AB246,$AB246)</f>
        <v>0-3-0-58</v>
      </c>
      <c r="X246" s="278" t="s">
        <v>235</v>
      </c>
      <c r="Y246" s="289">
        <f t="shared" ref="Y246:Y277" ca="1" si="46">VLOOKUP(LEFT($X246,LEN($X246)-1),$K:$O,5,FALSE)</f>
        <v>0</v>
      </c>
      <c r="Z246" s="271">
        <v>3</v>
      </c>
      <c r="AA246" s="277">
        <f t="shared" ca="1" si="40"/>
        <v>0</v>
      </c>
      <c r="AB246" s="279" t="str">
        <f t="shared" ca="1" si="44"/>
        <v>0-3-0</v>
      </c>
    </row>
    <row r="247" spans="1:28" x14ac:dyDescent="0.25">
      <c r="A247" s="281" t="s">
        <v>72</v>
      </c>
      <c r="B247" s="281" t="s">
        <v>89</v>
      </c>
      <c r="C247" s="281" t="s">
        <v>236</v>
      </c>
      <c r="D247" s="281" t="s">
        <v>178</v>
      </c>
      <c r="E247" s="281">
        <v>3</v>
      </c>
      <c r="F247" s="222" t="str">
        <f t="shared" si="41"/>
        <v>SITUATION-23</v>
      </c>
      <c r="G247" s="222">
        <f t="shared" si="39"/>
        <v>4</v>
      </c>
      <c r="H247" s="284">
        <f t="shared" ca="1" si="42"/>
        <v>0</v>
      </c>
      <c r="I247" s="284">
        <f t="shared" ca="1" si="43"/>
        <v>0</v>
      </c>
      <c r="J247" s="287" t="s">
        <v>236</v>
      </c>
      <c r="W247" s="278" t="str">
        <f ca="1">AB247&amp;"-"&amp;COUNTIF($AB$2:$AB247,$AB247)</f>
        <v>0-3-0-59</v>
      </c>
      <c r="X247" s="278" t="s">
        <v>236</v>
      </c>
      <c r="Y247" s="289">
        <f t="shared" ca="1" si="46"/>
        <v>0</v>
      </c>
      <c r="Z247" s="271">
        <v>3</v>
      </c>
      <c r="AA247" s="277">
        <f t="shared" ca="1" si="40"/>
        <v>0</v>
      </c>
      <c r="AB247" s="279" t="str">
        <f t="shared" ca="1" si="44"/>
        <v>0-3-0</v>
      </c>
    </row>
    <row r="248" spans="1:28" x14ac:dyDescent="0.25">
      <c r="A248" s="281" t="s">
        <v>72</v>
      </c>
      <c r="B248" s="281" t="s">
        <v>89</v>
      </c>
      <c r="C248" s="281" t="s">
        <v>237</v>
      </c>
      <c r="D248" s="281" t="s">
        <v>209</v>
      </c>
      <c r="E248" s="281">
        <v>3</v>
      </c>
      <c r="F248" s="222" t="str">
        <f t="shared" si="41"/>
        <v>SITUATION-23</v>
      </c>
      <c r="G248" s="222">
        <f t="shared" si="39"/>
        <v>4</v>
      </c>
      <c r="H248" s="284">
        <f t="shared" ca="1" si="42"/>
        <v>0</v>
      </c>
      <c r="I248" s="284">
        <f t="shared" ca="1" si="43"/>
        <v>0</v>
      </c>
      <c r="J248" s="287" t="s">
        <v>237</v>
      </c>
      <c r="W248" s="278" t="str">
        <f ca="1">AB248&amp;"-"&amp;COUNTIF($AB$2:$AB248,$AB248)</f>
        <v>0-3-0-60</v>
      </c>
      <c r="X248" s="278" t="s">
        <v>237</v>
      </c>
      <c r="Y248" s="289">
        <f t="shared" ca="1" si="46"/>
        <v>0</v>
      </c>
      <c r="Z248" s="271">
        <v>3</v>
      </c>
      <c r="AA248" s="277">
        <f t="shared" ca="1" si="40"/>
        <v>0</v>
      </c>
      <c r="AB248" s="279" t="str">
        <f t="shared" ca="1" si="44"/>
        <v>0-3-0</v>
      </c>
    </row>
    <row r="249" spans="1:28" x14ac:dyDescent="0.25">
      <c r="A249" s="281" t="s">
        <v>72</v>
      </c>
      <c r="B249" s="281" t="s">
        <v>89</v>
      </c>
      <c r="C249" s="281" t="s">
        <v>238</v>
      </c>
      <c r="D249" s="281" t="s">
        <v>211</v>
      </c>
      <c r="E249" s="281">
        <v>3</v>
      </c>
      <c r="F249" s="222" t="str">
        <f t="shared" si="41"/>
        <v>SITUATION-23</v>
      </c>
      <c r="G249" s="222">
        <f t="shared" si="39"/>
        <v>4</v>
      </c>
      <c r="H249" s="284">
        <f t="shared" ca="1" si="42"/>
        <v>0</v>
      </c>
      <c r="I249" s="284">
        <f t="shared" ca="1" si="43"/>
        <v>0</v>
      </c>
      <c r="J249" s="287" t="s">
        <v>238</v>
      </c>
      <c r="W249" s="278" t="str">
        <f ca="1">AB249&amp;"-"&amp;COUNTIF($AB$2:$AB249,$AB249)</f>
        <v>0-3-0-61</v>
      </c>
      <c r="X249" s="278" t="s">
        <v>238</v>
      </c>
      <c r="Y249" s="289">
        <f t="shared" ca="1" si="46"/>
        <v>0</v>
      </c>
      <c r="Z249" s="271">
        <v>3</v>
      </c>
      <c r="AA249" s="277">
        <f t="shared" ca="1" si="40"/>
        <v>0</v>
      </c>
      <c r="AB249" s="279" t="str">
        <f t="shared" ca="1" si="44"/>
        <v>0-3-0</v>
      </c>
    </row>
    <row r="250" spans="1:28" x14ac:dyDescent="0.25">
      <c r="A250" s="281" t="s">
        <v>72</v>
      </c>
      <c r="B250" s="281" t="s">
        <v>91</v>
      </c>
      <c r="C250" s="281" t="s">
        <v>239</v>
      </c>
      <c r="D250" s="281" t="s">
        <v>25</v>
      </c>
      <c r="E250" s="281">
        <v>2</v>
      </c>
      <c r="F250" s="222" t="str">
        <f t="shared" si="41"/>
        <v>SITUATION-32</v>
      </c>
      <c r="G250" s="222">
        <f t="shared" si="39"/>
        <v>3</v>
      </c>
      <c r="H250" s="284">
        <f t="shared" ca="1" si="42"/>
        <v>0</v>
      </c>
      <c r="I250" s="284">
        <f t="shared" ca="1" si="43"/>
        <v>0</v>
      </c>
      <c r="J250" s="287" t="s">
        <v>239</v>
      </c>
      <c r="W250" s="278" t="str">
        <f ca="1">AB250&amp;"-"&amp;COUNTIF($AB$2:$AB250,$AB250)</f>
        <v>1-2-0-33</v>
      </c>
      <c r="X250" s="278" t="s">
        <v>239</v>
      </c>
      <c r="Y250" s="289">
        <f t="shared" ca="1" si="46"/>
        <v>1</v>
      </c>
      <c r="Z250" s="271">
        <v>2</v>
      </c>
      <c r="AA250" s="277">
        <f t="shared" ca="1" si="40"/>
        <v>0</v>
      </c>
      <c r="AB250" s="279" t="str">
        <f t="shared" ca="1" si="44"/>
        <v>1-2-0</v>
      </c>
    </row>
    <row r="251" spans="1:28" x14ac:dyDescent="0.25">
      <c r="A251" s="281" t="s">
        <v>72</v>
      </c>
      <c r="B251" s="281" t="s">
        <v>91</v>
      </c>
      <c r="C251" s="281" t="s">
        <v>240</v>
      </c>
      <c r="D251" s="281" t="s">
        <v>26</v>
      </c>
      <c r="E251" s="281">
        <v>2</v>
      </c>
      <c r="F251" s="222" t="str">
        <f t="shared" si="41"/>
        <v>SITUATION-32</v>
      </c>
      <c r="G251" s="222">
        <f t="shared" si="39"/>
        <v>3</v>
      </c>
      <c r="H251" s="284">
        <f t="shared" ca="1" si="42"/>
        <v>0</v>
      </c>
      <c r="I251" s="284">
        <f t="shared" ca="1" si="43"/>
        <v>0</v>
      </c>
      <c r="J251" s="287" t="s">
        <v>240</v>
      </c>
      <c r="W251" s="278" t="str">
        <f ca="1">AB251&amp;"-"&amp;COUNTIF($AB$2:$AB251,$AB251)</f>
        <v>1-2-0-34</v>
      </c>
      <c r="X251" s="278" t="s">
        <v>240</v>
      </c>
      <c r="Y251" s="289">
        <f t="shared" ca="1" si="46"/>
        <v>1</v>
      </c>
      <c r="Z251" s="271">
        <v>2</v>
      </c>
      <c r="AA251" s="277">
        <f t="shared" ca="1" si="40"/>
        <v>0</v>
      </c>
      <c r="AB251" s="279" t="str">
        <f t="shared" ca="1" si="44"/>
        <v>1-2-0</v>
      </c>
    </row>
    <row r="252" spans="1:28" x14ac:dyDescent="0.25">
      <c r="A252" s="281" t="s">
        <v>72</v>
      </c>
      <c r="B252" s="281" t="s">
        <v>91</v>
      </c>
      <c r="C252" s="281" t="s">
        <v>241</v>
      </c>
      <c r="D252" s="281" t="s">
        <v>27</v>
      </c>
      <c r="E252" s="281">
        <v>2</v>
      </c>
      <c r="F252" s="222" t="str">
        <f t="shared" si="41"/>
        <v>SITUATION-32</v>
      </c>
      <c r="G252" s="222">
        <f t="shared" si="39"/>
        <v>3</v>
      </c>
      <c r="H252" s="284">
        <f t="shared" ca="1" si="42"/>
        <v>0</v>
      </c>
      <c r="I252" s="284">
        <f t="shared" ca="1" si="43"/>
        <v>0</v>
      </c>
      <c r="J252" s="287" t="s">
        <v>241</v>
      </c>
      <c r="W252" s="278" t="str">
        <f ca="1">AB252&amp;"-"&amp;COUNTIF($AB$2:$AB252,$AB252)</f>
        <v>1-2-0-35</v>
      </c>
      <c r="X252" s="278" t="s">
        <v>241</v>
      </c>
      <c r="Y252" s="289">
        <f t="shared" ca="1" si="46"/>
        <v>1</v>
      </c>
      <c r="Z252" s="271">
        <v>2</v>
      </c>
      <c r="AA252" s="277">
        <f t="shared" ca="1" si="40"/>
        <v>0</v>
      </c>
      <c r="AB252" s="279" t="str">
        <f t="shared" ca="1" si="44"/>
        <v>1-2-0</v>
      </c>
    </row>
    <row r="253" spans="1:28" x14ac:dyDescent="0.25">
      <c r="A253" s="281" t="s">
        <v>72</v>
      </c>
      <c r="B253" s="281" t="s">
        <v>91</v>
      </c>
      <c r="C253" s="281" t="s">
        <v>242</v>
      </c>
      <c r="D253" s="281" t="s">
        <v>28</v>
      </c>
      <c r="E253" s="281">
        <v>3</v>
      </c>
      <c r="F253" s="222" t="str">
        <f t="shared" si="41"/>
        <v>SITUATION-33</v>
      </c>
      <c r="G253" s="222">
        <f t="shared" si="39"/>
        <v>5</v>
      </c>
      <c r="H253" s="284">
        <f t="shared" ca="1" si="42"/>
        <v>0</v>
      </c>
      <c r="I253" s="284">
        <f t="shared" ca="1" si="43"/>
        <v>0</v>
      </c>
      <c r="J253" s="287" t="s">
        <v>242</v>
      </c>
      <c r="W253" s="278" t="str">
        <f ca="1">AB253&amp;"-"&amp;COUNTIF($AB$2:$AB253,$AB253)</f>
        <v>1-3-0-27</v>
      </c>
      <c r="X253" s="278" t="s">
        <v>242</v>
      </c>
      <c r="Y253" s="289">
        <f t="shared" ca="1" si="46"/>
        <v>1</v>
      </c>
      <c r="Z253" s="271">
        <v>3</v>
      </c>
      <c r="AA253" s="277">
        <f t="shared" ca="1" si="40"/>
        <v>0</v>
      </c>
      <c r="AB253" s="279" t="str">
        <f t="shared" ca="1" si="44"/>
        <v>1-3-0</v>
      </c>
    </row>
    <row r="254" spans="1:28" x14ac:dyDescent="0.25">
      <c r="A254" s="281" t="s">
        <v>72</v>
      </c>
      <c r="B254" s="281" t="s">
        <v>91</v>
      </c>
      <c r="C254" s="281" t="s">
        <v>243</v>
      </c>
      <c r="D254" s="281" t="s">
        <v>29</v>
      </c>
      <c r="E254" s="281">
        <v>3</v>
      </c>
      <c r="F254" s="222" t="str">
        <f t="shared" si="41"/>
        <v>SITUATION-33</v>
      </c>
      <c r="G254" s="222">
        <f t="shared" si="39"/>
        <v>5</v>
      </c>
      <c r="H254" s="284">
        <f t="shared" ca="1" si="42"/>
        <v>0</v>
      </c>
      <c r="I254" s="284">
        <f t="shared" ca="1" si="43"/>
        <v>0</v>
      </c>
      <c r="J254" s="287" t="s">
        <v>243</v>
      </c>
      <c r="W254" s="278" t="str">
        <f ca="1">AB254&amp;"-"&amp;COUNTIF($AB$2:$AB254,$AB254)</f>
        <v>1-3-0-28</v>
      </c>
      <c r="X254" s="278" t="s">
        <v>243</v>
      </c>
      <c r="Y254" s="289">
        <f t="shared" ca="1" si="46"/>
        <v>1</v>
      </c>
      <c r="Z254" s="271">
        <v>3</v>
      </c>
      <c r="AA254" s="277">
        <f t="shared" ca="1" si="40"/>
        <v>0</v>
      </c>
      <c r="AB254" s="279" t="str">
        <f t="shared" ca="1" si="44"/>
        <v>1-3-0</v>
      </c>
    </row>
    <row r="255" spans="1:28" x14ac:dyDescent="0.25">
      <c r="A255" s="281" t="s">
        <v>72</v>
      </c>
      <c r="B255" s="281" t="s">
        <v>91</v>
      </c>
      <c r="C255" s="281" t="s">
        <v>244</v>
      </c>
      <c r="D255" s="281" t="s">
        <v>30</v>
      </c>
      <c r="E255" s="281">
        <v>3</v>
      </c>
      <c r="F255" s="222" t="str">
        <f t="shared" si="41"/>
        <v>SITUATION-33</v>
      </c>
      <c r="G255" s="222">
        <f t="shared" si="39"/>
        <v>5</v>
      </c>
      <c r="H255" s="284">
        <f t="shared" ca="1" si="42"/>
        <v>0</v>
      </c>
      <c r="I255" s="284">
        <f t="shared" ca="1" si="43"/>
        <v>0</v>
      </c>
      <c r="J255" s="287" t="s">
        <v>244</v>
      </c>
      <c r="W255" s="278" t="str">
        <f ca="1">AB255&amp;"-"&amp;COUNTIF($AB$2:$AB255,$AB255)</f>
        <v>1-3-0-29</v>
      </c>
      <c r="X255" s="278" t="s">
        <v>244</v>
      </c>
      <c r="Y255" s="289">
        <f t="shared" ca="1" si="46"/>
        <v>1</v>
      </c>
      <c r="Z255" s="271">
        <v>3</v>
      </c>
      <c r="AA255" s="277">
        <f t="shared" ca="1" si="40"/>
        <v>0</v>
      </c>
      <c r="AB255" s="279" t="str">
        <f t="shared" ca="1" si="44"/>
        <v>1-3-0</v>
      </c>
    </row>
    <row r="256" spans="1:28" x14ac:dyDescent="0.25">
      <c r="A256" s="281" t="s">
        <v>72</v>
      </c>
      <c r="B256" s="281" t="s">
        <v>91</v>
      </c>
      <c r="C256" s="281" t="s">
        <v>245</v>
      </c>
      <c r="D256" s="281" t="s">
        <v>31</v>
      </c>
      <c r="E256" s="281">
        <v>3</v>
      </c>
      <c r="F256" s="222" t="str">
        <f t="shared" si="41"/>
        <v>SITUATION-33</v>
      </c>
      <c r="G256" s="222">
        <f t="shared" si="39"/>
        <v>5</v>
      </c>
      <c r="H256" s="284">
        <f t="shared" ca="1" si="42"/>
        <v>0</v>
      </c>
      <c r="I256" s="284">
        <f t="shared" ca="1" si="43"/>
        <v>0</v>
      </c>
      <c r="J256" s="287" t="s">
        <v>245</v>
      </c>
      <c r="W256" s="278" t="str">
        <f ca="1">AB256&amp;"-"&amp;COUNTIF($AB$2:$AB256,$AB256)</f>
        <v>1-3-0-30</v>
      </c>
      <c r="X256" s="278" t="s">
        <v>245</v>
      </c>
      <c r="Y256" s="289">
        <f t="shared" ca="1" si="46"/>
        <v>1</v>
      </c>
      <c r="Z256" s="271">
        <v>3</v>
      </c>
      <c r="AA256" s="277">
        <f t="shared" ca="1" si="40"/>
        <v>0</v>
      </c>
      <c r="AB256" s="279" t="str">
        <f t="shared" ca="1" si="44"/>
        <v>1-3-0</v>
      </c>
    </row>
    <row r="257" spans="1:28" x14ac:dyDescent="0.25">
      <c r="A257" s="281" t="s">
        <v>72</v>
      </c>
      <c r="B257" s="281" t="s">
        <v>91</v>
      </c>
      <c r="C257" s="281" t="s">
        <v>246</v>
      </c>
      <c r="D257" s="281" t="s">
        <v>247</v>
      </c>
      <c r="E257" s="281">
        <v>3</v>
      </c>
      <c r="F257" s="222" t="str">
        <f t="shared" si="41"/>
        <v>SITUATION-33</v>
      </c>
      <c r="G257" s="222">
        <f t="shared" si="39"/>
        <v>5</v>
      </c>
      <c r="H257" s="284">
        <f t="shared" ca="1" si="42"/>
        <v>0</v>
      </c>
      <c r="I257" s="284">
        <f t="shared" ca="1" si="43"/>
        <v>0</v>
      </c>
      <c r="J257" s="287" t="s">
        <v>246</v>
      </c>
      <c r="W257" s="278" t="str">
        <f ca="1">AB257&amp;"-"&amp;COUNTIF($AB$2:$AB257,$AB257)</f>
        <v>1-3-0-31</v>
      </c>
      <c r="X257" s="278" t="s">
        <v>246</v>
      </c>
      <c r="Y257" s="289">
        <f t="shared" ca="1" si="46"/>
        <v>1</v>
      </c>
      <c r="Z257" s="271">
        <v>3</v>
      </c>
      <c r="AA257" s="277">
        <f t="shared" ca="1" si="40"/>
        <v>0</v>
      </c>
      <c r="AB257" s="279" t="str">
        <f t="shared" ca="1" si="44"/>
        <v>1-3-0</v>
      </c>
    </row>
    <row r="258" spans="1:28" x14ac:dyDescent="0.25">
      <c r="A258" s="281" t="s">
        <v>72</v>
      </c>
      <c r="B258" s="281" t="s">
        <v>93</v>
      </c>
      <c r="C258" s="281" t="s">
        <v>248</v>
      </c>
      <c r="D258" s="281" t="s">
        <v>126</v>
      </c>
      <c r="E258" s="281">
        <v>2</v>
      </c>
      <c r="F258" s="222" t="str">
        <f t="shared" si="41"/>
        <v>SITUATION-42</v>
      </c>
      <c r="G258" s="222">
        <f t="shared" ref="G258:G326" si="47">COUNTIF($F:$F,$F258)</f>
        <v>4</v>
      </c>
      <c r="H258" s="284">
        <f t="shared" ca="1" si="42"/>
        <v>0</v>
      </c>
      <c r="I258" s="284">
        <f t="shared" ca="1" si="43"/>
        <v>0</v>
      </c>
      <c r="J258" s="287" t="s">
        <v>248</v>
      </c>
      <c r="W258" s="278" t="str">
        <f ca="1">AB258&amp;"-"&amp;COUNTIF($AB$2:$AB258,$AB258)</f>
        <v>1-2-0-36</v>
      </c>
      <c r="X258" s="278" t="s">
        <v>248</v>
      </c>
      <c r="Y258" s="289">
        <f t="shared" ca="1" si="46"/>
        <v>1</v>
      </c>
      <c r="Z258" s="271">
        <v>2</v>
      </c>
      <c r="AA258" s="277">
        <f t="shared" ref="AA258:AA326" ca="1" si="48">VLOOKUP(X258,C:I,7,FALSE)</f>
        <v>0</v>
      </c>
      <c r="AB258" s="279" t="str">
        <f t="shared" ca="1" si="44"/>
        <v>1-2-0</v>
      </c>
    </row>
    <row r="259" spans="1:28" x14ac:dyDescent="0.25">
      <c r="A259" s="281" t="s">
        <v>72</v>
      </c>
      <c r="B259" s="281" t="s">
        <v>93</v>
      </c>
      <c r="C259" s="281" t="s">
        <v>249</v>
      </c>
      <c r="D259" s="281" t="s">
        <v>129</v>
      </c>
      <c r="E259" s="281">
        <v>2</v>
      </c>
      <c r="F259" s="222" t="str">
        <f t="shared" ref="F259:F326" si="49">CONCATENATE($B259,$E259)</f>
        <v>SITUATION-42</v>
      </c>
      <c r="G259" s="222">
        <f t="shared" si="47"/>
        <v>4</v>
      </c>
      <c r="H259" s="284">
        <f t="shared" ref="H259:H326" ca="1" si="50">INT(LEFT(
VLOOKUP($D259, INDIRECT("'"&amp;$A259&amp;"'!"&amp;"$D:$H"), 5,FALSE), 1)
)</f>
        <v>0</v>
      </c>
      <c r="I259" s="284">
        <f t="shared" ref="I259:I322" ca="1" si="51">IFERROR(IF(H259&gt;2,1,0),0)</f>
        <v>0</v>
      </c>
      <c r="J259" s="287" t="s">
        <v>249</v>
      </c>
      <c r="W259" s="278" t="str">
        <f ca="1">AB259&amp;"-"&amp;COUNTIF($AB$2:$AB259,$AB259)</f>
        <v>1-2-0-37</v>
      </c>
      <c r="X259" s="278" t="s">
        <v>249</v>
      </c>
      <c r="Y259" s="289">
        <f t="shared" ca="1" si="46"/>
        <v>1</v>
      </c>
      <c r="Z259" s="271">
        <v>2</v>
      </c>
      <c r="AA259" s="277">
        <f t="shared" ca="1" si="48"/>
        <v>0</v>
      </c>
      <c r="AB259" s="279" t="str">
        <f t="shared" ca="1" si="44"/>
        <v>1-2-0</v>
      </c>
    </row>
    <row r="260" spans="1:28" x14ac:dyDescent="0.25">
      <c r="A260" s="281" t="s">
        <v>72</v>
      </c>
      <c r="B260" s="281" t="s">
        <v>93</v>
      </c>
      <c r="C260" s="281" t="s">
        <v>250</v>
      </c>
      <c r="D260" s="281" t="s">
        <v>132</v>
      </c>
      <c r="E260" s="281">
        <v>2</v>
      </c>
      <c r="F260" s="222" t="str">
        <f t="shared" si="49"/>
        <v>SITUATION-42</v>
      </c>
      <c r="G260" s="222">
        <f t="shared" si="47"/>
        <v>4</v>
      </c>
      <c r="H260" s="284">
        <f t="shared" ca="1" si="50"/>
        <v>0</v>
      </c>
      <c r="I260" s="284">
        <f t="shared" ca="1" si="51"/>
        <v>0</v>
      </c>
      <c r="J260" s="287" t="s">
        <v>250</v>
      </c>
      <c r="W260" s="278" t="str">
        <f ca="1">AB260&amp;"-"&amp;COUNTIF($AB$2:$AB260,$AB260)</f>
        <v>1-2-0-38</v>
      </c>
      <c r="X260" s="278" t="s">
        <v>250</v>
      </c>
      <c r="Y260" s="289">
        <f t="shared" ca="1" si="46"/>
        <v>1</v>
      </c>
      <c r="Z260" s="271">
        <v>2</v>
      </c>
      <c r="AA260" s="277">
        <f t="shared" ca="1" si="48"/>
        <v>0</v>
      </c>
      <c r="AB260" s="279" t="str">
        <f t="shared" ref="AB260:AB323" ca="1" si="52">Y260&amp;"-"&amp;Z260&amp;"-"&amp;AA260</f>
        <v>1-2-0</v>
      </c>
    </row>
    <row r="261" spans="1:28" x14ac:dyDescent="0.25">
      <c r="A261" s="281" t="s">
        <v>72</v>
      </c>
      <c r="B261" s="281" t="s">
        <v>93</v>
      </c>
      <c r="C261" s="281" t="s">
        <v>251</v>
      </c>
      <c r="D261" s="281" t="s">
        <v>135</v>
      </c>
      <c r="E261" s="281">
        <v>2</v>
      </c>
      <c r="F261" s="222" t="str">
        <f t="shared" si="49"/>
        <v>SITUATION-42</v>
      </c>
      <c r="G261" s="222">
        <f t="shared" si="47"/>
        <v>4</v>
      </c>
      <c r="H261" s="284">
        <f t="shared" ca="1" si="50"/>
        <v>0</v>
      </c>
      <c r="I261" s="284">
        <f t="shared" ca="1" si="51"/>
        <v>0</v>
      </c>
      <c r="J261" s="287" t="s">
        <v>251</v>
      </c>
      <c r="W261" s="278" t="str">
        <f ca="1">AB261&amp;"-"&amp;COUNTIF($AB$2:$AB261,$AB261)</f>
        <v>1-2-0-39</v>
      </c>
      <c r="X261" s="278" t="s">
        <v>251</v>
      </c>
      <c r="Y261" s="289">
        <f t="shared" ca="1" si="46"/>
        <v>1</v>
      </c>
      <c r="Z261" s="271">
        <v>2</v>
      </c>
      <c r="AA261" s="277">
        <f t="shared" ca="1" si="48"/>
        <v>0</v>
      </c>
      <c r="AB261" s="279" t="str">
        <f t="shared" ca="1" si="52"/>
        <v>1-2-0</v>
      </c>
    </row>
    <row r="262" spans="1:28" x14ac:dyDescent="0.25">
      <c r="A262" s="281" t="s">
        <v>72</v>
      </c>
      <c r="B262" s="281" t="s">
        <v>93</v>
      </c>
      <c r="C262" s="281" t="s">
        <v>252</v>
      </c>
      <c r="D262" s="281" t="s">
        <v>138</v>
      </c>
      <c r="E262" s="281">
        <v>3</v>
      </c>
      <c r="F262" s="222" t="str">
        <f t="shared" si="49"/>
        <v>SITUATION-43</v>
      </c>
      <c r="G262" s="222">
        <f t="shared" si="47"/>
        <v>3</v>
      </c>
      <c r="H262" s="284">
        <f t="shared" ca="1" si="50"/>
        <v>0</v>
      </c>
      <c r="I262" s="284">
        <f t="shared" ca="1" si="51"/>
        <v>0</v>
      </c>
      <c r="J262" s="287" t="s">
        <v>252</v>
      </c>
      <c r="W262" s="278" t="str">
        <f ca="1">AB262&amp;"-"&amp;COUNTIF($AB$2:$AB262,$AB262)</f>
        <v>1-3-0-32</v>
      </c>
      <c r="X262" s="278" t="s">
        <v>252</v>
      </c>
      <c r="Y262" s="289">
        <f t="shared" ca="1" si="46"/>
        <v>1</v>
      </c>
      <c r="Z262" s="271">
        <v>3</v>
      </c>
      <c r="AA262" s="277">
        <f t="shared" ca="1" si="48"/>
        <v>0</v>
      </c>
      <c r="AB262" s="279" t="str">
        <f t="shared" ca="1" si="52"/>
        <v>1-3-0</v>
      </c>
    </row>
    <row r="263" spans="1:28" x14ac:dyDescent="0.25">
      <c r="A263" s="281" t="s">
        <v>72</v>
      </c>
      <c r="B263" s="281" t="s">
        <v>93</v>
      </c>
      <c r="C263" s="281" t="s">
        <v>253</v>
      </c>
      <c r="D263" s="281" t="s">
        <v>140</v>
      </c>
      <c r="E263" s="281">
        <v>3</v>
      </c>
      <c r="F263" s="222" t="str">
        <f t="shared" si="49"/>
        <v>SITUATION-43</v>
      </c>
      <c r="G263" s="222">
        <f t="shared" si="47"/>
        <v>3</v>
      </c>
      <c r="H263" s="284">
        <f t="shared" ca="1" si="50"/>
        <v>0</v>
      </c>
      <c r="I263" s="284">
        <f t="shared" ca="1" si="51"/>
        <v>0</v>
      </c>
      <c r="J263" s="287" t="s">
        <v>253</v>
      </c>
      <c r="W263" s="278" t="str">
        <f ca="1">AB263&amp;"-"&amp;COUNTIF($AB$2:$AB263,$AB263)</f>
        <v>1-3-0-33</v>
      </c>
      <c r="X263" s="278" t="s">
        <v>253</v>
      </c>
      <c r="Y263" s="289">
        <f t="shared" ca="1" si="46"/>
        <v>1</v>
      </c>
      <c r="Z263" s="271">
        <v>3</v>
      </c>
      <c r="AA263" s="277">
        <f t="shared" ca="1" si="48"/>
        <v>0</v>
      </c>
      <c r="AB263" s="279" t="str">
        <f t="shared" ca="1" si="52"/>
        <v>1-3-0</v>
      </c>
    </row>
    <row r="264" spans="1:28" x14ac:dyDescent="0.25">
      <c r="A264" s="281" t="s">
        <v>72</v>
      </c>
      <c r="B264" s="281" t="s">
        <v>93</v>
      </c>
      <c r="C264" s="281" t="s">
        <v>254</v>
      </c>
      <c r="D264" s="281" t="s">
        <v>255</v>
      </c>
      <c r="E264" s="281">
        <v>3</v>
      </c>
      <c r="F264" s="222" t="str">
        <f t="shared" si="49"/>
        <v>SITUATION-43</v>
      </c>
      <c r="G264" s="222">
        <f t="shared" si="47"/>
        <v>3</v>
      </c>
      <c r="H264" s="284">
        <f t="shared" ca="1" si="50"/>
        <v>0</v>
      </c>
      <c r="I264" s="284">
        <f t="shared" ca="1" si="51"/>
        <v>0</v>
      </c>
      <c r="J264" s="287" t="s">
        <v>254</v>
      </c>
      <c r="W264" s="278" t="str">
        <f ca="1">AB264&amp;"-"&amp;COUNTIF($AB$2:$AB264,$AB264)</f>
        <v>1-3-0-34</v>
      </c>
      <c r="X264" s="278" t="s">
        <v>254</v>
      </c>
      <c r="Y264" s="289">
        <f t="shared" ca="1" si="46"/>
        <v>1</v>
      </c>
      <c r="Z264" s="271">
        <v>3</v>
      </c>
      <c r="AA264" s="277">
        <f t="shared" ca="1" si="48"/>
        <v>0</v>
      </c>
      <c r="AB264" s="279" t="str">
        <f t="shared" ca="1" si="52"/>
        <v>1-3-0</v>
      </c>
    </row>
    <row r="265" spans="1:28" x14ac:dyDescent="0.25">
      <c r="A265" s="281" t="s">
        <v>69</v>
      </c>
      <c r="B265" s="281" t="s">
        <v>76</v>
      </c>
      <c r="C265" s="281" t="s">
        <v>186</v>
      </c>
      <c r="D265" s="281" t="s">
        <v>7</v>
      </c>
      <c r="E265" s="281">
        <v>1</v>
      </c>
      <c r="F265" s="222" t="str">
        <f t="shared" si="49"/>
        <v>THREAT-11</v>
      </c>
      <c r="G265" s="222">
        <f t="shared" si="47"/>
        <v>3</v>
      </c>
      <c r="H265" s="284">
        <f t="shared" ca="1" si="50"/>
        <v>0</v>
      </c>
      <c r="I265" s="284">
        <f t="shared" ca="1" si="51"/>
        <v>0</v>
      </c>
      <c r="J265" s="287" t="s">
        <v>186</v>
      </c>
      <c r="W265" s="278" t="str">
        <f ca="1">AB265&amp;"-"&amp;COUNTIF($AB$2:$AB265,$AB265)</f>
        <v>0-1-0-47</v>
      </c>
      <c r="X265" s="278" t="s">
        <v>186</v>
      </c>
      <c r="Y265" s="289">
        <f t="shared" ca="1" si="46"/>
        <v>0</v>
      </c>
      <c r="Z265" s="271">
        <v>1</v>
      </c>
      <c r="AA265" s="277">
        <f t="shared" ca="1" si="48"/>
        <v>0</v>
      </c>
      <c r="AB265" s="279" t="str">
        <f t="shared" ca="1" si="52"/>
        <v>0-1-0</v>
      </c>
    </row>
    <row r="266" spans="1:28" x14ac:dyDescent="0.25">
      <c r="A266" s="281" t="s">
        <v>69</v>
      </c>
      <c r="B266" s="281" t="s">
        <v>76</v>
      </c>
      <c r="C266" s="281" t="s">
        <v>187</v>
      </c>
      <c r="D266" s="281" t="s">
        <v>9</v>
      </c>
      <c r="E266" s="281">
        <v>1</v>
      </c>
      <c r="F266" s="222" t="str">
        <f t="shared" si="49"/>
        <v>THREAT-11</v>
      </c>
      <c r="G266" s="222">
        <f t="shared" si="47"/>
        <v>3</v>
      </c>
      <c r="H266" s="284">
        <f t="shared" ca="1" si="50"/>
        <v>0</v>
      </c>
      <c r="I266" s="284">
        <f t="shared" ca="1" si="51"/>
        <v>0</v>
      </c>
      <c r="J266" s="287" t="s">
        <v>187</v>
      </c>
      <c r="W266" s="278" t="str">
        <f ca="1">AB266&amp;"-"&amp;COUNTIF($AB$2:$AB266,$AB266)</f>
        <v>0-1-0-48</v>
      </c>
      <c r="X266" s="278" t="s">
        <v>187</v>
      </c>
      <c r="Y266" s="289">
        <f t="shared" ca="1" si="46"/>
        <v>0</v>
      </c>
      <c r="Z266" s="271">
        <v>1</v>
      </c>
      <c r="AA266" s="277">
        <f t="shared" ca="1" si="48"/>
        <v>0</v>
      </c>
      <c r="AB266" s="279" t="str">
        <f t="shared" ca="1" si="52"/>
        <v>0-1-0</v>
      </c>
    </row>
    <row r="267" spans="1:28" x14ac:dyDescent="0.25">
      <c r="A267" s="281" t="s">
        <v>69</v>
      </c>
      <c r="B267" s="281" t="s">
        <v>76</v>
      </c>
      <c r="C267" s="281" t="s">
        <v>188</v>
      </c>
      <c r="D267" s="281" t="s">
        <v>10</v>
      </c>
      <c r="E267" s="281">
        <v>1</v>
      </c>
      <c r="F267" s="222" t="str">
        <f t="shared" si="49"/>
        <v>THREAT-11</v>
      </c>
      <c r="G267" s="222">
        <f t="shared" si="47"/>
        <v>3</v>
      </c>
      <c r="H267" s="284">
        <f t="shared" ca="1" si="50"/>
        <v>0</v>
      </c>
      <c r="I267" s="284">
        <f t="shared" ca="1" si="51"/>
        <v>0</v>
      </c>
      <c r="J267" s="287" t="s">
        <v>188</v>
      </c>
      <c r="W267" s="278" t="str">
        <f ca="1">AB267&amp;"-"&amp;COUNTIF($AB$2:$AB267,$AB267)</f>
        <v>0-1-0-49</v>
      </c>
      <c r="X267" s="278" t="s">
        <v>188</v>
      </c>
      <c r="Y267" s="289">
        <f t="shared" ca="1" si="46"/>
        <v>0</v>
      </c>
      <c r="Z267" s="271">
        <v>1</v>
      </c>
      <c r="AA267" s="277">
        <f t="shared" ca="1" si="48"/>
        <v>0</v>
      </c>
      <c r="AB267" s="279" t="str">
        <f t="shared" ca="1" si="52"/>
        <v>0-1-0</v>
      </c>
    </row>
    <row r="268" spans="1:28" x14ac:dyDescent="0.25">
      <c r="A268" s="281" t="s">
        <v>69</v>
      </c>
      <c r="B268" s="281" t="s">
        <v>76</v>
      </c>
      <c r="C268" s="281" t="s">
        <v>189</v>
      </c>
      <c r="D268" s="281" t="s">
        <v>11</v>
      </c>
      <c r="E268" s="281">
        <v>2</v>
      </c>
      <c r="F268" s="222" t="str">
        <f t="shared" si="49"/>
        <v>THREAT-12</v>
      </c>
      <c r="G268" s="222">
        <f t="shared" si="47"/>
        <v>4</v>
      </c>
      <c r="H268" s="284">
        <f t="shared" ca="1" si="50"/>
        <v>0</v>
      </c>
      <c r="I268" s="284">
        <f t="shared" ca="1" si="51"/>
        <v>0</v>
      </c>
      <c r="J268" s="287" t="s">
        <v>189</v>
      </c>
      <c r="W268" s="278" t="str">
        <f ca="1">AB268&amp;"-"&amp;COUNTIF($AB$2:$AB268,$AB268)</f>
        <v>0-2-0-84</v>
      </c>
      <c r="X268" s="278" t="s">
        <v>189</v>
      </c>
      <c r="Y268" s="289">
        <f t="shared" ca="1" si="46"/>
        <v>0</v>
      </c>
      <c r="Z268" s="271">
        <v>2</v>
      </c>
      <c r="AA268" s="277">
        <f t="shared" ca="1" si="48"/>
        <v>0</v>
      </c>
      <c r="AB268" s="279" t="str">
        <f t="shared" ca="1" si="52"/>
        <v>0-2-0</v>
      </c>
    </row>
    <row r="269" spans="1:28" x14ac:dyDescent="0.25">
      <c r="A269" s="281" t="s">
        <v>69</v>
      </c>
      <c r="B269" s="281" t="s">
        <v>76</v>
      </c>
      <c r="C269" s="281" t="s">
        <v>190</v>
      </c>
      <c r="D269" s="281" t="s">
        <v>12</v>
      </c>
      <c r="E269" s="281">
        <v>2</v>
      </c>
      <c r="F269" s="222" t="str">
        <f t="shared" si="49"/>
        <v>THREAT-12</v>
      </c>
      <c r="G269" s="222">
        <f t="shared" si="47"/>
        <v>4</v>
      </c>
      <c r="H269" s="284">
        <f t="shared" ca="1" si="50"/>
        <v>0</v>
      </c>
      <c r="I269" s="284">
        <f t="shared" ca="1" si="51"/>
        <v>0</v>
      </c>
      <c r="J269" s="287" t="s">
        <v>190</v>
      </c>
      <c r="W269" s="278" t="str">
        <f ca="1">AB269&amp;"-"&amp;COUNTIF($AB$2:$AB269,$AB269)</f>
        <v>0-2-0-85</v>
      </c>
      <c r="X269" s="278" t="s">
        <v>190</v>
      </c>
      <c r="Y269" s="289">
        <f t="shared" ca="1" si="46"/>
        <v>0</v>
      </c>
      <c r="Z269" s="271">
        <v>2</v>
      </c>
      <c r="AA269" s="277">
        <f t="shared" ca="1" si="48"/>
        <v>0</v>
      </c>
      <c r="AB269" s="279" t="str">
        <f t="shared" ca="1" si="52"/>
        <v>0-2-0</v>
      </c>
    </row>
    <row r="270" spans="1:28" x14ac:dyDescent="0.25">
      <c r="A270" s="281" t="s">
        <v>69</v>
      </c>
      <c r="B270" s="281" t="s">
        <v>76</v>
      </c>
      <c r="C270" s="281" t="s">
        <v>191</v>
      </c>
      <c r="D270" s="281" t="s">
        <v>13</v>
      </c>
      <c r="E270" s="281">
        <v>2</v>
      </c>
      <c r="F270" s="222" t="str">
        <f t="shared" si="49"/>
        <v>THREAT-12</v>
      </c>
      <c r="G270" s="222">
        <f t="shared" si="47"/>
        <v>4</v>
      </c>
      <c r="H270" s="284">
        <f t="shared" ca="1" si="50"/>
        <v>0</v>
      </c>
      <c r="I270" s="284">
        <f t="shared" ca="1" si="51"/>
        <v>0</v>
      </c>
      <c r="J270" s="287" t="s">
        <v>191</v>
      </c>
      <c r="W270" s="278" t="str">
        <f ca="1">AB270&amp;"-"&amp;COUNTIF($AB$2:$AB270,$AB270)</f>
        <v>0-2-0-86</v>
      </c>
      <c r="X270" s="278" t="s">
        <v>191</v>
      </c>
      <c r="Y270" s="289">
        <f t="shared" ca="1" si="46"/>
        <v>0</v>
      </c>
      <c r="Z270" s="271">
        <v>2</v>
      </c>
      <c r="AA270" s="277">
        <f t="shared" ca="1" si="48"/>
        <v>0</v>
      </c>
      <c r="AB270" s="279" t="str">
        <f t="shared" ca="1" si="52"/>
        <v>0-2-0</v>
      </c>
    </row>
    <row r="271" spans="1:28" x14ac:dyDescent="0.25">
      <c r="A271" s="281" t="s">
        <v>69</v>
      </c>
      <c r="B271" s="281" t="s">
        <v>76</v>
      </c>
      <c r="C271" s="281" t="s">
        <v>192</v>
      </c>
      <c r="D271" s="281" t="s">
        <v>14</v>
      </c>
      <c r="E271" s="281">
        <v>2</v>
      </c>
      <c r="F271" s="222" t="str">
        <f t="shared" si="49"/>
        <v>THREAT-12</v>
      </c>
      <c r="G271" s="222">
        <f t="shared" si="47"/>
        <v>4</v>
      </c>
      <c r="H271" s="284">
        <f t="shared" ca="1" si="50"/>
        <v>0</v>
      </c>
      <c r="I271" s="284">
        <f t="shared" ca="1" si="51"/>
        <v>0</v>
      </c>
      <c r="J271" s="287" t="s">
        <v>192</v>
      </c>
      <c r="W271" s="278" t="str">
        <f ca="1">AB271&amp;"-"&amp;COUNTIF($AB$2:$AB271,$AB271)</f>
        <v>0-2-0-87</v>
      </c>
      <c r="X271" s="278" t="s">
        <v>192</v>
      </c>
      <c r="Y271" s="289">
        <f t="shared" ca="1" si="46"/>
        <v>0</v>
      </c>
      <c r="Z271" s="271">
        <v>2</v>
      </c>
      <c r="AA271" s="277">
        <f t="shared" ca="1" si="48"/>
        <v>0</v>
      </c>
      <c r="AB271" s="279" t="str">
        <f t="shared" ca="1" si="52"/>
        <v>0-2-0</v>
      </c>
    </row>
    <row r="272" spans="1:28" x14ac:dyDescent="0.25">
      <c r="A272" s="281" t="s">
        <v>69</v>
      </c>
      <c r="B272" s="281" t="s">
        <v>76</v>
      </c>
      <c r="C272" s="281" t="s">
        <v>193</v>
      </c>
      <c r="D272" s="281" t="s">
        <v>15</v>
      </c>
      <c r="E272" s="281">
        <v>3</v>
      </c>
      <c r="F272" s="222" t="str">
        <f t="shared" si="49"/>
        <v>THREAT-13</v>
      </c>
      <c r="G272" s="222">
        <f t="shared" si="47"/>
        <v>5</v>
      </c>
      <c r="H272" s="284">
        <f t="shared" ca="1" si="50"/>
        <v>0</v>
      </c>
      <c r="I272" s="284">
        <f t="shared" ca="1" si="51"/>
        <v>0</v>
      </c>
      <c r="J272" s="287" t="s">
        <v>193</v>
      </c>
      <c r="W272" s="278" t="str">
        <f ca="1">AB272&amp;"-"&amp;COUNTIF($AB$2:$AB272,$AB272)</f>
        <v>0-3-0-62</v>
      </c>
      <c r="X272" s="278" t="s">
        <v>193</v>
      </c>
      <c r="Y272" s="289">
        <f t="shared" ca="1" si="46"/>
        <v>0</v>
      </c>
      <c r="Z272" s="271">
        <v>3</v>
      </c>
      <c r="AA272" s="277">
        <f t="shared" ca="1" si="48"/>
        <v>0</v>
      </c>
      <c r="AB272" s="279" t="str">
        <f t="shared" ca="1" si="52"/>
        <v>0-3-0</v>
      </c>
    </row>
    <row r="273" spans="1:28" x14ac:dyDescent="0.25">
      <c r="A273" s="281" t="s">
        <v>69</v>
      </c>
      <c r="B273" s="281" t="s">
        <v>76</v>
      </c>
      <c r="C273" s="281" t="s">
        <v>194</v>
      </c>
      <c r="D273" s="281" t="s">
        <v>16</v>
      </c>
      <c r="E273" s="281">
        <v>3</v>
      </c>
      <c r="F273" s="222" t="str">
        <f t="shared" si="49"/>
        <v>THREAT-13</v>
      </c>
      <c r="G273" s="222">
        <f t="shared" si="47"/>
        <v>5</v>
      </c>
      <c r="H273" s="284">
        <f t="shared" ca="1" si="50"/>
        <v>0</v>
      </c>
      <c r="I273" s="284">
        <f t="shared" ca="1" si="51"/>
        <v>0</v>
      </c>
      <c r="J273" s="287" t="s">
        <v>194</v>
      </c>
      <c r="W273" s="278" t="str">
        <f ca="1">AB273&amp;"-"&amp;COUNTIF($AB$2:$AB273,$AB273)</f>
        <v>0-3-0-63</v>
      </c>
      <c r="X273" s="278" t="s">
        <v>194</v>
      </c>
      <c r="Y273" s="289">
        <f t="shared" ca="1" si="46"/>
        <v>0</v>
      </c>
      <c r="Z273" s="271">
        <v>3</v>
      </c>
      <c r="AA273" s="277">
        <f t="shared" ca="1" si="48"/>
        <v>0</v>
      </c>
      <c r="AB273" s="279" t="str">
        <f t="shared" ca="1" si="52"/>
        <v>0-3-0</v>
      </c>
    </row>
    <row r="274" spans="1:28" x14ac:dyDescent="0.25">
      <c r="A274" s="281" t="s">
        <v>69</v>
      </c>
      <c r="B274" s="281" t="s">
        <v>76</v>
      </c>
      <c r="C274" s="281" t="s">
        <v>195</v>
      </c>
      <c r="D274" s="281" t="s">
        <v>18</v>
      </c>
      <c r="E274" s="281">
        <v>3</v>
      </c>
      <c r="F274" s="222" t="str">
        <f t="shared" si="49"/>
        <v>THREAT-13</v>
      </c>
      <c r="G274" s="222">
        <f t="shared" si="47"/>
        <v>5</v>
      </c>
      <c r="H274" s="284">
        <f t="shared" ca="1" si="50"/>
        <v>0</v>
      </c>
      <c r="I274" s="284">
        <f t="shared" ca="1" si="51"/>
        <v>0</v>
      </c>
      <c r="J274" s="287" t="s">
        <v>195</v>
      </c>
      <c r="W274" s="278" t="str">
        <f ca="1">AB274&amp;"-"&amp;COUNTIF($AB$2:$AB274,$AB274)</f>
        <v>0-3-0-64</v>
      </c>
      <c r="X274" s="278" t="s">
        <v>195</v>
      </c>
      <c r="Y274" s="289">
        <f t="shared" ca="1" si="46"/>
        <v>0</v>
      </c>
      <c r="Z274" s="271">
        <v>3</v>
      </c>
      <c r="AA274" s="277">
        <f t="shared" ca="1" si="48"/>
        <v>0</v>
      </c>
      <c r="AB274" s="279" t="str">
        <f t="shared" ca="1" si="52"/>
        <v>0-3-0</v>
      </c>
    </row>
    <row r="275" spans="1:28" x14ac:dyDescent="0.25">
      <c r="A275" s="281" t="s">
        <v>69</v>
      </c>
      <c r="B275" s="281" t="s">
        <v>76</v>
      </c>
      <c r="C275" s="281" t="s">
        <v>196</v>
      </c>
      <c r="D275" s="281" t="s">
        <v>197</v>
      </c>
      <c r="E275" s="281">
        <v>3</v>
      </c>
      <c r="F275" s="222" t="str">
        <f t="shared" si="49"/>
        <v>THREAT-13</v>
      </c>
      <c r="G275" s="222">
        <f t="shared" si="47"/>
        <v>5</v>
      </c>
      <c r="H275" s="284">
        <f t="shared" ca="1" si="50"/>
        <v>0</v>
      </c>
      <c r="I275" s="284">
        <f t="shared" ca="1" si="51"/>
        <v>0</v>
      </c>
      <c r="J275" s="287" t="s">
        <v>196</v>
      </c>
      <c r="W275" s="278" t="str">
        <f ca="1">AB275&amp;"-"&amp;COUNTIF($AB$2:$AB275,$AB275)</f>
        <v>0-3-0-65</v>
      </c>
      <c r="X275" s="278" t="s">
        <v>196</v>
      </c>
      <c r="Y275" s="289">
        <f t="shared" ca="1" si="46"/>
        <v>0</v>
      </c>
      <c r="Z275" s="271">
        <v>3</v>
      </c>
      <c r="AA275" s="277">
        <f t="shared" ca="1" si="48"/>
        <v>0</v>
      </c>
      <c r="AB275" s="279" t="str">
        <f t="shared" ca="1" si="52"/>
        <v>0-3-0</v>
      </c>
    </row>
    <row r="276" spans="1:28" x14ac:dyDescent="0.25">
      <c r="A276" s="281" t="s">
        <v>69</v>
      </c>
      <c r="B276" s="281" t="s">
        <v>76</v>
      </c>
      <c r="C276" s="281" t="s">
        <v>198</v>
      </c>
      <c r="D276" s="281" t="s">
        <v>199</v>
      </c>
      <c r="E276" s="281">
        <v>3</v>
      </c>
      <c r="F276" s="222" t="str">
        <f t="shared" si="49"/>
        <v>THREAT-13</v>
      </c>
      <c r="G276" s="222">
        <f t="shared" si="47"/>
        <v>5</v>
      </c>
      <c r="H276" s="284">
        <f t="shared" ca="1" si="50"/>
        <v>0</v>
      </c>
      <c r="I276" s="284">
        <f t="shared" ca="1" si="51"/>
        <v>0</v>
      </c>
      <c r="J276" s="287" t="s">
        <v>198</v>
      </c>
      <c r="W276" s="278" t="str">
        <f ca="1">AB276&amp;"-"&amp;COUNTIF($AB$2:$AB276,$AB276)</f>
        <v>0-3-0-66</v>
      </c>
      <c r="X276" s="278" t="s">
        <v>198</v>
      </c>
      <c r="Y276" s="289">
        <f t="shared" ca="1" si="46"/>
        <v>0</v>
      </c>
      <c r="Z276" s="271">
        <v>3</v>
      </c>
      <c r="AA276" s="277">
        <f t="shared" ca="1" si="48"/>
        <v>0</v>
      </c>
      <c r="AB276" s="279" t="str">
        <f t="shared" ca="1" si="52"/>
        <v>0-3-0</v>
      </c>
    </row>
    <row r="277" spans="1:28" x14ac:dyDescent="0.25">
      <c r="A277" s="281" t="s">
        <v>69</v>
      </c>
      <c r="B277" s="281" t="s">
        <v>79</v>
      </c>
      <c r="C277" s="281" t="s">
        <v>200</v>
      </c>
      <c r="D277" s="281" t="s">
        <v>20</v>
      </c>
      <c r="E277" s="281">
        <v>1</v>
      </c>
      <c r="F277" s="222" t="str">
        <f t="shared" si="49"/>
        <v>THREAT-21</v>
      </c>
      <c r="G277" s="222">
        <f t="shared" si="47"/>
        <v>4</v>
      </c>
      <c r="H277" s="284">
        <f t="shared" ca="1" si="50"/>
        <v>0</v>
      </c>
      <c r="I277" s="284">
        <f t="shared" ca="1" si="51"/>
        <v>0</v>
      </c>
      <c r="J277" s="287" t="s">
        <v>200</v>
      </c>
      <c r="W277" s="278" t="str">
        <f ca="1">AB277&amp;"-"&amp;COUNTIF($AB$2:$AB277,$AB277)</f>
        <v>0-1-0-50</v>
      </c>
      <c r="X277" s="278" t="s">
        <v>200</v>
      </c>
      <c r="Y277" s="289">
        <f t="shared" ca="1" si="46"/>
        <v>0</v>
      </c>
      <c r="Z277" s="271">
        <v>1</v>
      </c>
      <c r="AA277" s="277">
        <f t="shared" ca="1" si="48"/>
        <v>0</v>
      </c>
      <c r="AB277" s="279" t="str">
        <f t="shared" ca="1" si="52"/>
        <v>0-1-0</v>
      </c>
    </row>
    <row r="278" spans="1:28" x14ac:dyDescent="0.25">
      <c r="A278" s="281" t="s">
        <v>69</v>
      </c>
      <c r="B278" s="281" t="s">
        <v>79</v>
      </c>
      <c r="C278" s="281" t="s">
        <v>201</v>
      </c>
      <c r="D278" s="281" t="s">
        <v>21</v>
      </c>
      <c r="E278" s="281">
        <v>1</v>
      </c>
      <c r="F278" s="222" t="str">
        <f t="shared" si="49"/>
        <v>THREAT-21</v>
      </c>
      <c r="G278" s="222">
        <f t="shared" si="47"/>
        <v>4</v>
      </c>
      <c r="H278" s="284">
        <f t="shared" ca="1" si="50"/>
        <v>0</v>
      </c>
      <c r="I278" s="284">
        <f t="shared" ca="1" si="51"/>
        <v>0</v>
      </c>
      <c r="J278" s="287" t="s">
        <v>201</v>
      </c>
      <c r="W278" s="278" t="str">
        <f ca="1">AB278&amp;"-"&amp;COUNTIF($AB$2:$AB278,$AB278)</f>
        <v>0-1-0-51</v>
      </c>
      <c r="X278" s="278" t="s">
        <v>201</v>
      </c>
      <c r="Y278" s="289">
        <f t="shared" ref="Y278:Y309" ca="1" si="53">VLOOKUP(LEFT($X278,LEN($X278)-1),$K:$O,5,FALSE)</f>
        <v>0</v>
      </c>
      <c r="Z278" s="271">
        <v>1</v>
      </c>
      <c r="AA278" s="277">
        <f t="shared" ca="1" si="48"/>
        <v>0</v>
      </c>
      <c r="AB278" s="279" t="str">
        <f t="shared" ca="1" si="52"/>
        <v>0-1-0</v>
      </c>
    </row>
    <row r="279" spans="1:28" x14ac:dyDescent="0.25">
      <c r="A279" s="281" t="s">
        <v>69</v>
      </c>
      <c r="B279" s="281" t="s">
        <v>79</v>
      </c>
      <c r="C279" s="281" t="s">
        <v>202</v>
      </c>
      <c r="D279" s="281" t="s">
        <v>22</v>
      </c>
      <c r="E279" s="281">
        <v>1</v>
      </c>
      <c r="F279" s="222" t="str">
        <f t="shared" si="49"/>
        <v>THREAT-21</v>
      </c>
      <c r="G279" s="222">
        <f t="shared" si="47"/>
        <v>4</v>
      </c>
      <c r="H279" s="284">
        <f t="shared" ca="1" si="50"/>
        <v>0</v>
      </c>
      <c r="I279" s="284">
        <f t="shared" ca="1" si="51"/>
        <v>0</v>
      </c>
      <c r="J279" s="287" t="s">
        <v>202</v>
      </c>
      <c r="W279" s="278" t="str">
        <f ca="1">AB279&amp;"-"&amp;COUNTIF($AB$2:$AB279,$AB279)</f>
        <v>0-1-0-52</v>
      </c>
      <c r="X279" s="278" t="s">
        <v>202</v>
      </c>
      <c r="Y279" s="289">
        <f t="shared" ca="1" si="53"/>
        <v>0</v>
      </c>
      <c r="Z279" s="271">
        <v>1</v>
      </c>
      <c r="AA279" s="277">
        <f t="shared" ca="1" si="48"/>
        <v>0</v>
      </c>
      <c r="AB279" s="279" t="str">
        <f t="shared" ca="1" si="52"/>
        <v>0-1-0</v>
      </c>
    </row>
    <row r="280" spans="1:28" x14ac:dyDescent="0.25">
      <c r="A280" s="281" t="s">
        <v>69</v>
      </c>
      <c r="B280" s="281" t="s">
        <v>79</v>
      </c>
      <c r="C280" s="281" t="s">
        <v>203</v>
      </c>
      <c r="D280" s="281" t="s">
        <v>23</v>
      </c>
      <c r="E280" s="281">
        <v>1</v>
      </c>
      <c r="F280" s="222" t="str">
        <f t="shared" si="49"/>
        <v>THREAT-21</v>
      </c>
      <c r="G280" s="222">
        <f t="shared" si="47"/>
        <v>4</v>
      </c>
      <c r="H280" s="284">
        <f t="shared" ca="1" si="50"/>
        <v>0</v>
      </c>
      <c r="I280" s="284">
        <f t="shared" ca="1" si="51"/>
        <v>0</v>
      </c>
      <c r="J280" s="287" t="s">
        <v>203</v>
      </c>
      <c r="W280" s="278" t="str">
        <f ca="1">AB280&amp;"-"&amp;COUNTIF($AB$2:$AB280,$AB280)</f>
        <v>0-1-0-53</v>
      </c>
      <c r="X280" s="278" t="s">
        <v>203</v>
      </c>
      <c r="Y280" s="289">
        <f t="shared" ca="1" si="53"/>
        <v>0</v>
      </c>
      <c r="Z280" s="271">
        <v>1</v>
      </c>
      <c r="AA280" s="277">
        <f t="shared" ca="1" si="48"/>
        <v>0</v>
      </c>
      <c r="AB280" s="279" t="str">
        <f t="shared" ca="1" si="52"/>
        <v>0-1-0</v>
      </c>
    </row>
    <row r="281" spans="1:28" x14ac:dyDescent="0.25">
      <c r="A281" s="281" t="s">
        <v>69</v>
      </c>
      <c r="B281" s="281" t="s">
        <v>79</v>
      </c>
      <c r="C281" s="281" t="s">
        <v>204</v>
      </c>
      <c r="D281" s="281" t="s">
        <v>24</v>
      </c>
      <c r="E281" s="281">
        <v>2</v>
      </c>
      <c r="F281" s="222" t="str">
        <f t="shared" si="49"/>
        <v>THREAT-22</v>
      </c>
      <c r="G281" s="222">
        <f t="shared" si="47"/>
        <v>5</v>
      </c>
      <c r="H281" s="284">
        <f t="shared" ca="1" si="50"/>
        <v>0</v>
      </c>
      <c r="I281" s="284">
        <f t="shared" ca="1" si="51"/>
        <v>0</v>
      </c>
      <c r="J281" s="287" t="s">
        <v>204</v>
      </c>
      <c r="W281" s="278" t="str">
        <f ca="1">AB281&amp;"-"&amp;COUNTIF($AB$2:$AB281,$AB281)</f>
        <v>0-2-0-88</v>
      </c>
      <c r="X281" s="278" t="s">
        <v>204</v>
      </c>
      <c r="Y281" s="289">
        <f t="shared" ca="1" si="53"/>
        <v>0</v>
      </c>
      <c r="Z281" s="271">
        <v>2</v>
      </c>
      <c r="AA281" s="277">
        <f t="shared" ca="1" si="48"/>
        <v>0</v>
      </c>
      <c r="AB281" s="279" t="str">
        <f t="shared" ca="1" si="52"/>
        <v>0-2-0</v>
      </c>
    </row>
    <row r="282" spans="1:28" x14ac:dyDescent="0.25">
      <c r="A282" s="281" t="s">
        <v>69</v>
      </c>
      <c r="B282" s="281" t="s">
        <v>79</v>
      </c>
      <c r="C282" s="281" t="s">
        <v>205</v>
      </c>
      <c r="D282" s="281" t="s">
        <v>112</v>
      </c>
      <c r="E282" s="281">
        <v>2</v>
      </c>
      <c r="F282" s="222" t="str">
        <f t="shared" si="49"/>
        <v>THREAT-22</v>
      </c>
      <c r="G282" s="222">
        <f t="shared" si="47"/>
        <v>5</v>
      </c>
      <c r="H282" s="284">
        <f t="shared" ca="1" si="50"/>
        <v>0</v>
      </c>
      <c r="I282" s="284">
        <f t="shared" ca="1" si="51"/>
        <v>0</v>
      </c>
      <c r="J282" s="287" t="s">
        <v>205</v>
      </c>
      <c r="W282" s="278" t="str">
        <f ca="1">AB282&amp;"-"&amp;COUNTIF($AB$2:$AB282,$AB282)</f>
        <v>0-2-0-89</v>
      </c>
      <c r="X282" s="278" t="s">
        <v>205</v>
      </c>
      <c r="Y282" s="289">
        <f t="shared" ca="1" si="53"/>
        <v>0</v>
      </c>
      <c r="Z282" s="271">
        <v>2</v>
      </c>
      <c r="AA282" s="277">
        <f t="shared" ca="1" si="48"/>
        <v>0</v>
      </c>
      <c r="AB282" s="279" t="str">
        <f t="shared" ca="1" si="52"/>
        <v>0-2-0</v>
      </c>
    </row>
    <row r="283" spans="1:28" x14ac:dyDescent="0.25">
      <c r="A283" s="281" t="s">
        <v>69</v>
      </c>
      <c r="B283" s="281" t="s">
        <v>79</v>
      </c>
      <c r="C283" s="281" t="s">
        <v>206</v>
      </c>
      <c r="D283" s="281" t="s">
        <v>176</v>
      </c>
      <c r="E283" s="281">
        <v>2</v>
      </c>
      <c r="F283" s="222" t="str">
        <f t="shared" si="49"/>
        <v>THREAT-22</v>
      </c>
      <c r="G283" s="222">
        <f t="shared" si="47"/>
        <v>5</v>
      </c>
      <c r="H283" s="284">
        <f t="shared" ca="1" si="50"/>
        <v>0</v>
      </c>
      <c r="I283" s="284">
        <f t="shared" ca="1" si="51"/>
        <v>0</v>
      </c>
      <c r="J283" s="287" t="s">
        <v>206</v>
      </c>
      <c r="W283" s="278" t="str">
        <f ca="1">AB283&amp;"-"&amp;COUNTIF($AB$2:$AB283,$AB283)</f>
        <v>0-2-0-90</v>
      </c>
      <c r="X283" s="278" t="s">
        <v>206</v>
      </c>
      <c r="Y283" s="289">
        <f t="shared" ca="1" si="53"/>
        <v>0</v>
      </c>
      <c r="Z283" s="271">
        <v>2</v>
      </c>
      <c r="AA283" s="277">
        <f t="shared" ca="1" si="48"/>
        <v>0</v>
      </c>
      <c r="AB283" s="279" t="str">
        <f t="shared" ca="1" si="52"/>
        <v>0-2-0</v>
      </c>
    </row>
    <row r="284" spans="1:28" x14ac:dyDescent="0.25">
      <c r="A284" s="281" t="s">
        <v>69</v>
      </c>
      <c r="B284" s="281" t="s">
        <v>79</v>
      </c>
      <c r="C284" s="281" t="s">
        <v>207</v>
      </c>
      <c r="D284" s="281" t="s">
        <v>178</v>
      </c>
      <c r="E284" s="281">
        <v>2</v>
      </c>
      <c r="F284" s="222" t="str">
        <f t="shared" si="49"/>
        <v>THREAT-22</v>
      </c>
      <c r="G284" s="222">
        <f t="shared" si="47"/>
        <v>5</v>
      </c>
      <c r="H284" s="284">
        <f t="shared" ca="1" si="50"/>
        <v>0</v>
      </c>
      <c r="I284" s="284">
        <f t="shared" ca="1" si="51"/>
        <v>0</v>
      </c>
      <c r="J284" s="287" t="s">
        <v>207</v>
      </c>
      <c r="W284" s="278" t="str">
        <f ca="1">AB284&amp;"-"&amp;COUNTIF($AB$2:$AB284,$AB284)</f>
        <v>0-2-0-91</v>
      </c>
      <c r="X284" s="278" t="s">
        <v>207</v>
      </c>
      <c r="Y284" s="289">
        <f t="shared" ca="1" si="53"/>
        <v>0</v>
      </c>
      <c r="Z284" s="271">
        <v>2</v>
      </c>
      <c r="AA284" s="277">
        <f t="shared" ca="1" si="48"/>
        <v>0</v>
      </c>
      <c r="AB284" s="279" t="str">
        <f t="shared" ca="1" si="52"/>
        <v>0-2-0</v>
      </c>
    </row>
    <row r="285" spans="1:28" x14ac:dyDescent="0.25">
      <c r="A285" s="281" t="s">
        <v>69</v>
      </c>
      <c r="B285" s="281" t="s">
        <v>79</v>
      </c>
      <c r="C285" s="281" t="s">
        <v>208</v>
      </c>
      <c r="D285" s="281" t="s">
        <v>209</v>
      </c>
      <c r="E285" s="281">
        <v>2</v>
      </c>
      <c r="F285" s="222" t="str">
        <f t="shared" si="49"/>
        <v>THREAT-22</v>
      </c>
      <c r="G285" s="222">
        <f t="shared" si="47"/>
        <v>5</v>
      </c>
      <c r="H285" s="284">
        <f t="shared" ca="1" si="50"/>
        <v>0</v>
      </c>
      <c r="I285" s="284">
        <f t="shared" ca="1" si="51"/>
        <v>0</v>
      </c>
      <c r="J285" s="287" t="s">
        <v>208</v>
      </c>
      <c r="W285" s="278" t="str">
        <f ca="1">AB285&amp;"-"&amp;COUNTIF($AB$2:$AB285,$AB285)</f>
        <v>0-2-0-92</v>
      </c>
      <c r="X285" s="278" t="s">
        <v>208</v>
      </c>
      <c r="Y285" s="289">
        <f t="shared" ca="1" si="53"/>
        <v>0</v>
      </c>
      <c r="Z285" s="271">
        <v>2</v>
      </c>
      <c r="AA285" s="277">
        <f t="shared" ca="1" si="48"/>
        <v>0</v>
      </c>
      <c r="AB285" s="279" t="str">
        <f t="shared" ca="1" si="52"/>
        <v>0-2-0</v>
      </c>
    </row>
    <row r="286" spans="1:28" x14ac:dyDescent="0.25">
      <c r="A286" s="281" t="s">
        <v>69</v>
      </c>
      <c r="B286" s="281" t="s">
        <v>79</v>
      </c>
      <c r="C286" s="281" t="s">
        <v>210</v>
      </c>
      <c r="D286" s="281" t="s">
        <v>211</v>
      </c>
      <c r="E286" s="281">
        <v>3</v>
      </c>
      <c r="F286" s="222" t="str">
        <f t="shared" si="49"/>
        <v>THREAT-23</v>
      </c>
      <c r="G286" s="222">
        <f t="shared" si="47"/>
        <v>4</v>
      </c>
      <c r="H286" s="284">
        <f t="shared" ca="1" si="50"/>
        <v>0</v>
      </c>
      <c r="I286" s="284">
        <f t="shared" ca="1" si="51"/>
        <v>0</v>
      </c>
      <c r="J286" s="287" t="s">
        <v>210</v>
      </c>
      <c r="W286" s="278" t="str">
        <f ca="1">AB286&amp;"-"&amp;COUNTIF($AB$2:$AB286,$AB286)</f>
        <v>0-3-0-67</v>
      </c>
      <c r="X286" s="278" t="s">
        <v>210</v>
      </c>
      <c r="Y286" s="289">
        <f t="shared" ca="1" si="53"/>
        <v>0</v>
      </c>
      <c r="Z286" s="271">
        <v>3</v>
      </c>
      <c r="AA286" s="277">
        <f t="shared" ca="1" si="48"/>
        <v>0</v>
      </c>
      <c r="AB286" s="279" t="str">
        <f t="shared" ca="1" si="52"/>
        <v>0-3-0</v>
      </c>
    </row>
    <row r="287" spans="1:28" x14ac:dyDescent="0.25">
      <c r="A287" s="281" t="s">
        <v>69</v>
      </c>
      <c r="B287" s="281" t="s">
        <v>79</v>
      </c>
      <c r="C287" s="281" t="s">
        <v>212</v>
      </c>
      <c r="D287" s="281" t="s">
        <v>213</v>
      </c>
      <c r="E287" s="281">
        <v>3</v>
      </c>
      <c r="F287" s="222" t="str">
        <f t="shared" si="49"/>
        <v>THREAT-23</v>
      </c>
      <c r="G287" s="222">
        <f t="shared" si="47"/>
        <v>4</v>
      </c>
      <c r="H287" s="284">
        <f t="shared" ca="1" si="50"/>
        <v>0</v>
      </c>
      <c r="I287" s="284">
        <f t="shared" ca="1" si="51"/>
        <v>0</v>
      </c>
      <c r="J287" s="287" t="s">
        <v>212</v>
      </c>
      <c r="W287" s="278" t="str">
        <f ca="1">AB287&amp;"-"&amp;COUNTIF($AB$2:$AB287,$AB287)</f>
        <v>0-3-0-68</v>
      </c>
      <c r="X287" s="278" t="s">
        <v>212</v>
      </c>
      <c r="Y287" s="289">
        <f t="shared" ca="1" si="53"/>
        <v>0</v>
      </c>
      <c r="Z287" s="271">
        <v>3</v>
      </c>
      <c r="AA287" s="277">
        <f t="shared" ca="1" si="48"/>
        <v>0</v>
      </c>
      <c r="AB287" s="279" t="str">
        <f t="shared" ca="1" si="52"/>
        <v>0-3-0</v>
      </c>
    </row>
    <row r="288" spans="1:28" x14ac:dyDescent="0.25">
      <c r="A288" s="281" t="s">
        <v>69</v>
      </c>
      <c r="B288" s="281" t="s">
        <v>79</v>
      </c>
      <c r="C288" s="281" t="s">
        <v>214</v>
      </c>
      <c r="D288" s="281" t="s">
        <v>215</v>
      </c>
      <c r="E288" s="281">
        <v>3</v>
      </c>
      <c r="F288" s="222" t="str">
        <f t="shared" si="49"/>
        <v>THREAT-23</v>
      </c>
      <c r="G288" s="222">
        <f t="shared" si="47"/>
        <v>4</v>
      </c>
      <c r="H288" s="284">
        <f t="shared" ca="1" si="50"/>
        <v>0</v>
      </c>
      <c r="I288" s="284">
        <f t="shared" ca="1" si="51"/>
        <v>0</v>
      </c>
      <c r="J288" s="287" t="s">
        <v>214</v>
      </c>
      <c r="W288" s="278" t="str">
        <f ca="1">AB288&amp;"-"&amp;COUNTIF($AB$2:$AB288,$AB288)</f>
        <v>0-3-0-69</v>
      </c>
      <c r="X288" s="278" t="s">
        <v>214</v>
      </c>
      <c r="Y288" s="289">
        <f t="shared" ca="1" si="53"/>
        <v>0</v>
      </c>
      <c r="Z288" s="271">
        <v>3</v>
      </c>
      <c r="AA288" s="277">
        <f t="shared" ca="1" si="48"/>
        <v>0</v>
      </c>
      <c r="AB288" s="279" t="str">
        <f t="shared" ca="1" si="52"/>
        <v>0-3-0</v>
      </c>
    </row>
    <row r="289" spans="1:28" x14ac:dyDescent="0.25">
      <c r="A289" s="281" t="s">
        <v>69</v>
      </c>
      <c r="B289" s="281" t="s">
        <v>79</v>
      </c>
      <c r="C289" s="281" t="s">
        <v>216</v>
      </c>
      <c r="D289" s="281" t="s">
        <v>217</v>
      </c>
      <c r="E289" s="281">
        <v>3</v>
      </c>
      <c r="F289" s="222" t="str">
        <f t="shared" si="49"/>
        <v>THREAT-23</v>
      </c>
      <c r="G289" s="222">
        <f t="shared" si="47"/>
        <v>4</v>
      </c>
      <c r="H289" s="284">
        <f t="shared" ca="1" si="50"/>
        <v>0</v>
      </c>
      <c r="I289" s="284">
        <f t="shared" ca="1" si="51"/>
        <v>0</v>
      </c>
      <c r="J289" s="287" t="s">
        <v>216</v>
      </c>
      <c r="W289" s="278" t="str">
        <f ca="1">AB289&amp;"-"&amp;COUNTIF($AB$2:$AB289,$AB289)</f>
        <v>0-3-0-70</v>
      </c>
      <c r="X289" s="278" t="s">
        <v>216</v>
      </c>
      <c r="Y289" s="289">
        <f t="shared" ca="1" si="53"/>
        <v>0</v>
      </c>
      <c r="Z289" s="271">
        <v>3</v>
      </c>
      <c r="AA289" s="277">
        <f t="shared" ca="1" si="48"/>
        <v>0</v>
      </c>
      <c r="AB289" s="279" t="str">
        <f t="shared" ca="1" si="52"/>
        <v>0-3-0</v>
      </c>
    </row>
    <row r="290" spans="1:28" x14ac:dyDescent="0.25">
      <c r="A290" s="281" t="s">
        <v>69</v>
      </c>
      <c r="B290" s="281" t="s">
        <v>82</v>
      </c>
      <c r="C290" s="281" t="s">
        <v>218</v>
      </c>
      <c r="D290" s="281" t="s">
        <v>25</v>
      </c>
      <c r="E290" s="281">
        <v>2</v>
      </c>
      <c r="F290" s="222" t="str">
        <f t="shared" si="49"/>
        <v>THREAT-32</v>
      </c>
      <c r="G290" s="222">
        <f t="shared" si="47"/>
        <v>4</v>
      </c>
      <c r="H290" s="284">
        <f t="shared" ca="1" si="50"/>
        <v>0</v>
      </c>
      <c r="I290" s="284">
        <f t="shared" ca="1" si="51"/>
        <v>0</v>
      </c>
      <c r="J290" s="287" t="s">
        <v>218</v>
      </c>
      <c r="W290" s="278" t="str">
        <f ca="1">AB290&amp;"-"&amp;COUNTIF($AB$2:$AB290,$AB290)</f>
        <v>1-2-0-40</v>
      </c>
      <c r="X290" s="278" t="s">
        <v>218</v>
      </c>
      <c r="Y290" s="289">
        <f t="shared" ca="1" si="53"/>
        <v>1</v>
      </c>
      <c r="Z290" s="271">
        <v>2</v>
      </c>
      <c r="AA290" s="277">
        <f t="shared" ca="1" si="48"/>
        <v>0</v>
      </c>
      <c r="AB290" s="279" t="str">
        <f t="shared" ca="1" si="52"/>
        <v>1-2-0</v>
      </c>
    </row>
    <row r="291" spans="1:28" x14ac:dyDescent="0.25">
      <c r="A291" s="281" t="s">
        <v>69</v>
      </c>
      <c r="B291" s="281" t="s">
        <v>82</v>
      </c>
      <c r="C291" s="281" t="s">
        <v>219</v>
      </c>
      <c r="D291" s="281" t="s">
        <v>26</v>
      </c>
      <c r="E291" s="281">
        <v>2</v>
      </c>
      <c r="F291" s="222" t="str">
        <f t="shared" si="49"/>
        <v>THREAT-32</v>
      </c>
      <c r="G291" s="222">
        <f t="shared" si="47"/>
        <v>4</v>
      </c>
      <c r="H291" s="284">
        <f t="shared" ca="1" si="50"/>
        <v>0</v>
      </c>
      <c r="I291" s="284">
        <f t="shared" ca="1" si="51"/>
        <v>0</v>
      </c>
      <c r="J291" s="287" t="s">
        <v>219</v>
      </c>
      <c r="W291" s="278" t="str">
        <f ca="1">AB291&amp;"-"&amp;COUNTIF($AB$2:$AB291,$AB291)</f>
        <v>1-2-0-41</v>
      </c>
      <c r="X291" s="278" t="s">
        <v>219</v>
      </c>
      <c r="Y291" s="289">
        <f t="shared" ca="1" si="53"/>
        <v>1</v>
      </c>
      <c r="Z291" s="271">
        <v>2</v>
      </c>
      <c r="AA291" s="277">
        <f t="shared" ca="1" si="48"/>
        <v>0</v>
      </c>
      <c r="AB291" s="279" t="str">
        <f t="shared" ca="1" si="52"/>
        <v>1-2-0</v>
      </c>
    </row>
    <row r="292" spans="1:28" x14ac:dyDescent="0.25">
      <c r="A292" s="281" t="s">
        <v>69</v>
      </c>
      <c r="B292" s="281" t="s">
        <v>82</v>
      </c>
      <c r="C292" s="281" t="s">
        <v>220</v>
      </c>
      <c r="D292" s="281" t="s">
        <v>27</v>
      </c>
      <c r="E292" s="281">
        <v>2</v>
      </c>
      <c r="F292" s="222" t="str">
        <f t="shared" si="49"/>
        <v>THREAT-32</v>
      </c>
      <c r="G292" s="222">
        <f t="shared" si="47"/>
        <v>4</v>
      </c>
      <c r="H292" s="284">
        <f t="shared" ca="1" si="50"/>
        <v>0</v>
      </c>
      <c r="I292" s="284">
        <f t="shared" ca="1" si="51"/>
        <v>0</v>
      </c>
      <c r="J292" s="287" t="s">
        <v>220</v>
      </c>
      <c r="W292" s="278" t="str">
        <f ca="1">AB292&amp;"-"&amp;COUNTIF($AB$2:$AB292,$AB292)</f>
        <v>1-2-0-42</v>
      </c>
      <c r="X292" s="278" t="s">
        <v>220</v>
      </c>
      <c r="Y292" s="289">
        <f t="shared" ca="1" si="53"/>
        <v>1</v>
      </c>
      <c r="Z292" s="271">
        <v>2</v>
      </c>
      <c r="AA292" s="277">
        <f t="shared" ca="1" si="48"/>
        <v>0</v>
      </c>
      <c r="AB292" s="279" t="str">
        <f t="shared" ca="1" si="52"/>
        <v>1-2-0</v>
      </c>
    </row>
    <row r="293" spans="1:28" x14ac:dyDescent="0.25">
      <c r="A293" s="281" t="s">
        <v>69</v>
      </c>
      <c r="B293" s="281" t="s">
        <v>82</v>
      </c>
      <c r="C293" s="281" t="s">
        <v>221</v>
      </c>
      <c r="D293" s="281" t="s">
        <v>28</v>
      </c>
      <c r="E293" s="281">
        <v>2</v>
      </c>
      <c r="F293" s="222" t="str">
        <f t="shared" si="49"/>
        <v>THREAT-32</v>
      </c>
      <c r="G293" s="222">
        <f t="shared" si="47"/>
        <v>4</v>
      </c>
      <c r="H293" s="284">
        <f t="shared" ca="1" si="50"/>
        <v>0</v>
      </c>
      <c r="I293" s="284">
        <f t="shared" ca="1" si="51"/>
        <v>0</v>
      </c>
      <c r="J293" s="287" t="s">
        <v>221</v>
      </c>
      <c r="W293" s="278" t="str">
        <f ca="1">AB293&amp;"-"&amp;COUNTIF($AB$2:$AB293,$AB293)</f>
        <v>1-2-0-43</v>
      </c>
      <c r="X293" s="278" t="s">
        <v>221</v>
      </c>
      <c r="Y293" s="289">
        <f t="shared" ca="1" si="53"/>
        <v>1</v>
      </c>
      <c r="Z293" s="271">
        <v>2</v>
      </c>
      <c r="AA293" s="277">
        <f t="shared" ca="1" si="48"/>
        <v>0</v>
      </c>
      <c r="AB293" s="279" t="str">
        <f t="shared" ca="1" si="52"/>
        <v>1-2-0</v>
      </c>
    </row>
    <row r="294" spans="1:28" x14ac:dyDescent="0.25">
      <c r="A294" s="281" t="s">
        <v>69</v>
      </c>
      <c r="B294" s="281" t="s">
        <v>82</v>
      </c>
      <c r="C294" s="281" t="s">
        <v>222</v>
      </c>
      <c r="D294" s="281" t="s">
        <v>29</v>
      </c>
      <c r="E294" s="281">
        <v>3</v>
      </c>
      <c r="F294" s="222" t="str">
        <f t="shared" si="49"/>
        <v>THREAT-33</v>
      </c>
      <c r="G294" s="222">
        <f t="shared" si="47"/>
        <v>3</v>
      </c>
      <c r="H294" s="284">
        <f t="shared" ca="1" si="50"/>
        <v>0</v>
      </c>
      <c r="I294" s="284">
        <f t="shared" ca="1" si="51"/>
        <v>0</v>
      </c>
      <c r="J294" s="287" t="s">
        <v>222</v>
      </c>
      <c r="W294" s="278" t="str">
        <f ca="1">AB294&amp;"-"&amp;COUNTIF($AB$2:$AB294,$AB294)</f>
        <v>1-3-0-35</v>
      </c>
      <c r="X294" s="278" t="s">
        <v>222</v>
      </c>
      <c r="Y294" s="289">
        <f t="shared" ca="1" si="53"/>
        <v>1</v>
      </c>
      <c r="Z294" s="271">
        <v>3</v>
      </c>
      <c r="AA294" s="277">
        <f t="shared" ca="1" si="48"/>
        <v>0</v>
      </c>
      <c r="AB294" s="279" t="str">
        <f t="shared" ca="1" si="52"/>
        <v>1-3-0</v>
      </c>
    </row>
    <row r="295" spans="1:28" x14ac:dyDescent="0.25">
      <c r="A295" s="281" t="s">
        <v>69</v>
      </c>
      <c r="B295" s="281" t="s">
        <v>82</v>
      </c>
      <c r="C295" s="281" t="s">
        <v>223</v>
      </c>
      <c r="D295" s="281" t="s">
        <v>30</v>
      </c>
      <c r="E295" s="281">
        <v>3</v>
      </c>
      <c r="F295" s="222" t="str">
        <f t="shared" si="49"/>
        <v>THREAT-33</v>
      </c>
      <c r="G295" s="222">
        <f t="shared" si="47"/>
        <v>3</v>
      </c>
      <c r="H295" s="284">
        <f t="shared" ca="1" si="50"/>
        <v>0</v>
      </c>
      <c r="I295" s="284">
        <f t="shared" ca="1" si="51"/>
        <v>0</v>
      </c>
      <c r="J295" s="287" t="s">
        <v>223</v>
      </c>
      <c r="W295" s="278" t="str">
        <f ca="1">AB295&amp;"-"&amp;COUNTIF($AB$2:$AB295,$AB295)</f>
        <v>1-3-0-36</v>
      </c>
      <c r="X295" s="278" t="s">
        <v>223</v>
      </c>
      <c r="Y295" s="289">
        <f t="shared" ca="1" si="53"/>
        <v>1</v>
      </c>
      <c r="Z295" s="271">
        <v>3</v>
      </c>
      <c r="AA295" s="277">
        <f t="shared" ca="1" si="48"/>
        <v>0</v>
      </c>
      <c r="AB295" s="279" t="str">
        <f t="shared" ca="1" si="52"/>
        <v>1-3-0</v>
      </c>
    </row>
    <row r="296" spans="1:28" x14ac:dyDescent="0.25">
      <c r="A296" s="281" t="s">
        <v>69</v>
      </c>
      <c r="B296" s="281" t="s">
        <v>82</v>
      </c>
      <c r="C296" s="281" t="s">
        <v>224</v>
      </c>
      <c r="D296" s="281" t="s">
        <v>31</v>
      </c>
      <c r="E296" s="281">
        <v>3</v>
      </c>
      <c r="F296" s="222" t="str">
        <f t="shared" si="49"/>
        <v>THREAT-33</v>
      </c>
      <c r="G296" s="222">
        <f t="shared" si="47"/>
        <v>3</v>
      </c>
      <c r="H296" s="284">
        <f t="shared" ca="1" si="50"/>
        <v>0</v>
      </c>
      <c r="I296" s="284">
        <f t="shared" ca="1" si="51"/>
        <v>0</v>
      </c>
      <c r="J296" s="287" t="s">
        <v>224</v>
      </c>
      <c r="W296" s="278" t="str">
        <f ca="1">AB296&amp;"-"&amp;COUNTIF($AB$2:$AB296,$AB296)</f>
        <v>1-3-0-37</v>
      </c>
      <c r="X296" s="278" t="s">
        <v>224</v>
      </c>
      <c r="Y296" s="289">
        <f t="shared" ca="1" si="53"/>
        <v>1</v>
      </c>
      <c r="Z296" s="271">
        <v>3</v>
      </c>
      <c r="AA296" s="277">
        <f t="shared" ca="1" si="48"/>
        <v>0</v>
      </c>
      <c r="AB296" s="279" t="str">
        <f t="shared" ca="1" si="52"/>
        <v>1-3-0</v>
      </c>
    </row>
    <row r="297" spans="1:28" x14ac:dyDescent="0.25">
      <c r="A297" s="281" t="s">
        <v>80</v>
      </c>
      <c r="B297" s="281" t="s">
        <v>113</v>
      </c>
      <c r="C297" s="281" t="s">
        <v>319</v>
      </c>
      <c r="D297" s="281" t="s">
        <v>7</v>
      </c>
      <c r="E297" s="281">
        <v>1</v>
      </c>
      <c r="F297" s="222" t="str">
        <f t="shared" si="49"/>
        <v>WORKFORCE-11</v>
      </c>
      <c r="G297" s="222">
        <f t="shared" si="47"/>
        <v>2</v>
      </c>
      <c r="H297" s="284">
        <f t="shared" ca="1" si="50"/>
        <v>0</v>
      </c>
      <c r="I297" s="284">
        <f t="shared" ca="1" si="51"/>
        <v>0</v>
      </c>
      <c r="J297" s="287" t="s">
        <v>319</v>
      </c>
      <c r="W297" s="278" t="str">
        <f ca="1">AB297&amp;"-"&amp;COUNTIF($AB$2:$AB297,$AB297)</f>
        <v>0-1-0-54</v>
      </c>
      <c r="X297" s="278" t="s">
        <v>319</v>
      </c>
      <c r="Y297" s="289">
        <f t="shared" ca="1" si="53"/>
        <v>0</v>
      </c>
      <c r="Z297" s="271">
        <v>1</v>
      </c>
      <c r="AA297" s="277">
        <f t="shared" ca="1" si="48"/>
        <v>0</v>
      </c>
      <c r="AB297" s="279" t="str">
        <f t="shared" ca="1" si="52"/>
        <v>0-1-0</v>
      </c>
    </row>
    <row r="298" spans="1:28" x14ac:dyDescent="0.25">
      <c r="A298" s="281" t="s">
        <v>80</v>
      </c>
      <c r="B298" s="281" t="s">
        <v>113</v>
      </c>
      <c r="C298" s="281" t="s">
        <v>320</v>
      </c>
      <c r="D298" s="281" t="s">
        <v>9</v>
      </c>
      <c r="E298" s="281">
        <v>1</v>
      </c>
      <c r="F298" s="222" t="str">
        <f t="shared" si="49"/>
        <v>WORKFORCE-11</v>
      </c>
      <c r="G298" s="222">
        <f t="shared" si="47"/>
        <v>2</v>
      </c>
      <c r="H298" s="284">
        <f t="shared" ca="1" si="50"/>
        <v>0</v>
      </c>
      <c r="I298" s="284">
        <f t="shared" ca="1" si="51"/>
        <v>0</v>
      </c>
      <c r="J298" s="287" t="s">
        <v>320</v>
      </c>
      <c r="W298" s="278" t="str">
        <f ca="1">AB298&amp;"-"&amp;COUNTIF($AB$2:$AB298,$AB298)</f>
        <v>0-1-0-55</v>
      </c>
      <c r="X298" s="278" t="s">
        <v>320</v>
      </c>
      <c r="Y298" s="289">
        <f t="shared" ca="1" si="53"/>
        <v>0</v>
      </c>
      <c r="Z298" s="271">
        <v>1</v>
      </c>
      <c r="AA298" s="277">
        <f t="shared" ca="1" si="48"/>
        <v>0</v>
      </c>
      <c r="AB298" s="279" t="str">
        <f t="shared" ca="1" si="52"/>
        <v>0-1-0</v>
      </c>
    </row>
    <row r="299" spans="1:28" x14ac:dyDescent="0.25">
      <c r="A299" s="281" t="s">
        <v>80</v>
      </c>
      <c r="B299" s="281" t="s">
        <v>113</v>
      </c>
      <c r="C299" s="281" t="s">
        <v>321</v>
      </c>
      <c r="D299" s="281" t="s">
        <v>10</v>
      </c>
      <c r="E299" s="281">
        <v>2</v>
      </c>
      <c r="F299" s="222" t="str">
        <f t="shared" si="49"/>
        <v>WORKFORCE-12</v>
      </c>
      <c r="G299" s="222">
        <f t="shared" si="47"/>
        <v>2</v>
      </c>
      <c r="H299" s="284">
        <f t="shared" ca="1" si="50"/>
        <v>0</v>
      </c>
      <c r="I299" s="284">
        <f t="shared" ca="1" si="51"/>
        <v>0</v>
      </c>
      <c r="J299" s="287" t="s">
        <v>321</v>
      </c>
      <c r="W299" s="278" t="str">
        <f ca="1">AB299&amp;"-"&amp;COUNTIF($AB$2:$AB299,$AB299)</f>
        <v>0-2-0-93</v>
      </c>
      <c r="X299" s="278" t="s">
        <v>321</v>
      </c>
      <c r="Y299" s="289">
        <f t="shared" ca="1" si="53"/>
        <v>0</v>
      </c>
      <c r="Z299" s="271">
        <v>2</v>
      </c>
      <c r="AA299" s="277">
        <f t="shared" ca="1" si="48"/>
        <v>0</v>
      </c>
      <c r="AB299" s="279" t="str">
        <f t="shared" ca="1" si="52"/>
        <v>0-2-0</v>
      </c>
    </row>
    <row r="300" spans="1:28" x14ac:dyDescent="0.25">
      <c r="A300" s="281" t="s">
        <v>80</v>
      </c>
      <c r="B300" s="281" t="s">
        <v>113</v>
      </c>
      <c r="C300" s="281" t="s">
        <v>322</v>
      </c>
      <c r="D300" s="281" t="s">
        <v>11</v>
      </c>
      <c r="E300" s="281">
        <v>2</v>
      </c>
      <c r="F300" s="222" t="str">
        <f t="shared" si="49"/>
        <v>WORKFORCE-12</v>
      </c>
      <c r="G300" s="222">
        <f t="shared" si="47"/>
        <v>2</v>
      </c>
      <c r="H300" s="284">
        <f t="shared" ca="1" si="50"/>
        <v>0</v>
      </c>
      <c r="I300" s="284">
        <f t="shared" ca="1" si="51"/>
        <v>0</v>
      </c>
      <c r="J300" s="287" t="s">
        <v>322</v>
      </c>
      <c r="W300" s="278" t="str">
        <f ca="1">AB300&amp;"-"&amp;COUNTIF($AB$2:$AB300,$AB300)</f>
        <v>0-2-0-94</v>
      </c>
      <c r="X300" s="278" t="s">
        <v>322</v>
      </c>
      <c r="Y300" s="289">
        <f t="shared" ca="1" si="53"/>
        <v>0</v>
      </c>
      <c r="Z300" s="271">
        <v>2</v>
      </c>
      <c r="AA300" s="277">
        <f t="shared" ca="1" si="48"/>
        <v>0</v>
      </c>
      <c r="AB300" s="279" t="str">
        <f t="shared" ca="1" si="52"/>
        <v>0-2-0</v>
      </c>
    </row>
    <row r="301" spans="1:28" x14ac:dyDescent="0.25">
      <c r="A301" s="281" t="s">
        <v>80</v>
      </c>
      <c r="B301" s="281" t="s">
        <v>113</v>
      </c>
      <c r="C301" s="281" t="s">
        <v>323</v>
      </c>
      <c r="D301" s="281" t="s">
        <v>12</v>
      </c>
      <c r="E301" s="281">
        <v>3</v>
      </c>
      <c r="F301" s="222" t="str">
        <f t="shared" si="49"/>
        <v>WORKFORCE-13</v>
      </c>
      <c r="G301" s="222">
        <f t="shared" si="47"/>
        <v>2</v>
      </c>
      <c r="H301" s="284">
        <f t="shared" ca="1" si="50"/>
        <v>0</v>
      </c>
      <c r="I301" s="284">
        <f t="shared" ca="1" si="51"/>
        <v>0</v>
      </c>
      <c r="J301" s="287" t="s">
        <v>323</v>
      </c>
      <c r="W301" s="278" t="str">
        <f ca="1">AB301&amp;"-"&amp;COUNTIF($AB$2:$AB301,$AB301)</f>
        <v>0-3-0-71</v>
      </c>
      <c r="X301" s="278" t="s">
        <v>323</v>
      </c>
      <c r="Y301" s="289">
        <f t="shared" ca="1" si="53"/>
        <v>0</v>
      </c>
      <c r="Z301" s="271">
        <v>3</v>
      </c>
      <c r="AA301" s="277">
        <f t="shared" ca="1" si="48"/>
        <v>0</v>
      </c>
      <c r="AB301" s="279" t="str">
        <f t="shared" ca="1" si="52"/>
        <v>0-3-0</v>
      </c>
    </row>
    <row r="302" spans="1:28" x14ac:dyDescent="0.25">
      <c r="A302" s="281" t="s">
        <v>80</v>
      </c>
      <c r="B302" s="281" t="s">
        <v>113</v>
      </c>
      <c r="C302" s="281" t="s">
        <v>324</v>
      </c>
      <c r="D302" s="281" t="s">
        <v>13</v>
      </c>
      <c r="E302" s="281">
        <v>3</v>
      </c>
      <c r="F302" s="222" t="str">
        <f t="shared" si="49"/>
        <v>WORKFORCE-13</v>
      </c>
      <c r="G302" s="222">
        <f t="shared" si="47"/>
        <v>2</v>
      </c>
      <c r="H302" s="284">
        <f t="shared" ca="1" si="50"/>
        <v>0</v>
      </c>
      <c r="I302" s="284">
        <f t="shared" ca="1" si="51"/>
        <v>0</v>
      </c>
      <c r="J302" s="287" t="s">
        <v>324</v>
      </c>
      <c r="W302" s="278" t="str">
        <f ca="1">AB302&amp;"-"&amp;COUNTIF($AB$2:$AB302,$AB302)</f>
        <v>0-3-0-72</v>
      </c>
      <c r="X302" s="278" t="s">
        <v>324</v>
      </c>
      <c r="Y302" s="289">
        <f t="shared" ca="1" si="53"/>
        <v>0</v>
      </c>
      <c r="Z302" s="271">
        <v>3</v>
      </c>
      <c r="AA302" s="277">
        <f t="shared" ca="1" si="48"/>
        <v>0</v>
      </c>
      <c r="AB302" s="279" t="str">
        <f t="shared" ca="1" si="52"/>
        <v>0-3-0</v>
      </c>
    </row>
    <row r="303" spans="1:28" x14ac:dyDescent="0.25">
      <c r="A303" s="281" t="s">
        <v>80</v>
      </c>
      <c r="B303" s="281" t="s">
        <v>115</v>
      </c>
      <c r="C303" s="281" t="s">
        <v>325</v>
      </c>
      <c r="D303" s="281" t="s">
        <v>20</v>
      </c>
      <c r="E303" s="281">
        <v>1</v>
      </c>
      <c r="F303" s="222" t="str">
        <f t="shared" si="49"/>
        <v>WORKFORCE-21</v>
      </c>
      <c r="G303" s="222">
        <f t="shared" si="47"/>
        <v>2</v>
      </c>
      <c r="H303" s="284">
        <f t="shared" ca="1" si="50"/>
        <v>0</v>
      </c>
      <c r="I303" s="284">
        <f t="shared" ca="1" si="51"/>
        <v>0</v>
      </c>
      <c r="J303" s="287" t="s">
        <v>325</v>
      </c>
      <c r="W303" s="278" t="str">
        <f ca="1">AB303&amp;"-"&amp;COUNTIF($AB$2:$AB303,$AB303)</f>
        <v>0-1-0-56</v>
      </c>
      <c r="X303" s="278" t="s">
        <v>325</v>
      </c>
      <c r="Y303" s="289">
        <f t="shared" ca="1" si="53"/>
        <v>0</v>
      </c>
      <c r="Z303" s="271">
        <v>1</v>
      </c>
      <c r="AA303" s="277">
        <f t="shared" ca="1" si="48"/>
        <v>0</v>
      </c>
      <c r="AB303" s="279" t="str">
        <f t="shared" ca="1" si="52"/>
        <v>0-1-0</v>
      </c>
    </row>
    <row r="304" spans="1:28" x14ac:dyDescent="0.25">
      <c r="A304" s="281" t="s">
        <v>80</v>
      </c>
      <c r="B304" s="281" t="s">
        <v>115</v>
      </c>
      <c r="C304" s="281" t="s">
        <v>326</v>
      </c>
      <c r="D304" s="281" t="s">
        <v>21</v>
      </c>
      <c r="E304" s="281">
        <v>1</v>
      </c>
      <c r="F304" s="222" t="str">
        <f t="shared" si="49"/>
        <v>WORKFORCE-21</v>
      </c>
      <c r="G304" s="222">
        <f t="shared" si="47"/>
        <v>2</v>
      </c>
      <c r="H304" s="284">
        <f t="shared" ca="1" si="50"/>
        <v>0</v>
      </c>
      <c r="I304" s="284">
        <f t="shared" ca="1" si="51"/>
        <v>0</v>
      </c>
      <c r="J304" s="287" t="s">
        <v>326</v>
      </c>
      <c r="W304" s="278" t="str">
        <f ca="1">AB304&amp;"-"&amp;COUNTIF($AB$2:$AB304,$AB304)</f>
        <v>0-1-0-57</v>
      </c>
      <c r="X304" s="278" t="s">
        <v>326</v>
      </c>
      <c r="Y304" s="289">
        <f t="shared" ca="1" si="53"/>
        <v>0</v>
      </c>
      <c r="Z304" s="271">
        <v>1</v>
      </c>
      <c r="AA304" s="277">
        <f t="shared" ca="1" si="48"/>
        <v>0</v>
      </c>
      <c r="AB304" s="279" t="str">
        <f t="shared" ca="1" si="52"/>
        <v>0-1-0</v>
      </c>
    </row>
    <row r="305" spans="1:28" x14ac:dyDescent="0.25">
      <c r="A305" s="281" t="s">
        <v>80</v>
      </c>
      <c r="B305" s="281" t="s">
        <v>115</v>
      </c>
      <c r="C305" s="281" t="s">
        <v>327</v>
      </c>
      <c r="D305" s="281" t="s">
        <v>22</v>
      </c>
      <c r="E305" s="281">
        <v>2</v>
      </c>
      <c r="F305" s="222" t="str">
        <f t="shared" si="49"/>
        <v>WORKFORCE-22</v>
      </c>
      <c r="G305" s="222">
        <f t="shared" si="47"/>
        <v>2</v>
      </c>
      <c r="H305" s="284">
        <f t="shared" ca="1" si="50"/>
        <v>0</v>
      </c>
      <c r="I305" s="284">
        <f t="shared" ca="1" si="51"/>
        <v>0</v>
      </c>
      <c r="J305" s="287" t="s">
        <v>327</v>
      </c>
      <c r="W305" s="278" t="str">
        <f ca="1">AB305&amp;"-"&amp;COUNTIF($AB$2:$AB305,$AB305)</f>
        <v>0-2-0-95</v>
      </c>
      <c r="X305" s="278" t="s">
        <v>327</v>
      </c>
      <c r="Y305" s="289">
        <f t="shared" ca="1" si="53"/>
        <v>0</v>
      </c>
      <c r="Z305" s="271">
        <v>2</v>
      </c>
      <c r="AA305" s="277">
        <f t="shared" ca="1" si="48"/>
        <v>0</v>
      </c>
      <c r="AB305" s="279" t="str">
        <f t="shared" ca="1" si="52"/>
        <v>0-2-0</v>
      </c>
    </row>
    <row r="306" spans="1:28" x14ac:dyDescent="0.25">
      <c r="A306" s="281" t="s">
        <v>80</v>
      </c>
      <c r="B306" s="281" t="s">
        <v>115</v>
      </c>
      <c r="C306" s="281" t="s">
        <v>328</v>
      </c>
      <c r="D306" s="281" t="s">
        <v>23</v>
      </c>
      <c r="E306" s="281">
        <v>2</v>
      </c>
      <c r="F306" s="222" t="str">
        <f t="shared" si="49"/>
        <v>WORKFORCE-22</v>
      </c>
      <c r="G306" s="222">
        <f t="shared" si="47"/>
        <v>2</v>
      </c>
      <c r="H306" s="284">
        <f t="shared" ca="1" si="50"/>
        <v>0</v>
      </c>
      <c r="I306" s="284">
        <f t="shared" ca="1" si="51"/>
        <v>0</v>
      </c>
      <c r="J306" s="287" t="s">
        <v>328</v>
      </c>
      <c r="W306" s="278" t="str">
        <f ca="1">AB306&amp;"-"&amp;COUNTIF($AB$2:$AB306,$AB306)</f>
        <v>0-2-0-96</v>
      </c>
      <c r="X306" s="278" t="s">
        <v>328</v>
      </c>
      <c r="Y306" s="289">
        <f t="shared" ca="1" si="53"/>
        <v>0</v>
      </c>
      <c r="Z306" s="271">
        <v>2</v>
      </c>
      <c r="AA306" s="277">
        <f t="shared" ca="1" si="48"/>
        <v>0</v>
      </c>
      <c r="AB306" s="279" t="str">
        <f t="shared" ca="1" si="52"/>
        <v>0-2-0</v>
      </c>
    </row>
    <row r="307" spans="1:28" x14ac:dyDescent="0.25">
      <c r="A307" s="281" t="s">
        <v>80</v>
      </c>
      <c r="B307" s="281" t="s">
        <v>115</v>
      </c>
      <c r="C307" s="281" t="s">
        <v>329</v>
      </c>
      <c r="D307" s="281" t="s">
        <v>24</v>
      </c>
      <c r="E307" s="281">
        <v>3</v>
      </c>
      <c r="F307" s="222" t="str">
        <f t="shared" si="49"/>
        <v>WORKFORCE-23</v>
      </c>
      <c r="G307" s="222">
        <f t="shared" si="47"/>
        <v>2</v>
      </c>
      <c r="H307" s="284">
        <f t="shared" ca="1" si="50"/>
        <v>0</v>
      </c>
      <c r="I307" s="284">
        <f t="shared" ca="1" si="51"/>
        <v>0</v>
      </c>
      <c r="J307" s="287" t="s">
        <v>329</v>
      </c>
      <c r="W307" s="278" t="str">
        <f ca="1">AB307&amp;"-"&amp;COUNTIF($AB$2:$AB307,$AB307)</f>
        <v>0-3-0-73</v>
      </c>
      <c r="X307" s="278" t="s">
        <v>329</v>
      </c>
      <c r="Y307" s="289">
        <f t="shared" ca="1" si="53"/>
        <v>0</v>
      </c>
      <c r="Z307" s="271">
        <v>3</v>
      </c>
      <c r="AA307" s="277">
        <f t="shared" ca="1" si="48"/>
        <v>0</v>
      </c>
      <c r="AB307" s="279" t="str">
        <f t="shared" ca="1" si="52"/>
        <v>0-3-0</v>
      </c>
    </row>
    <row r="308" spans="1:28" x14ac:dyDescent="0.25">
      <c r="A308" s="281" t="s">
        <v>80</v>
      </c>
      <c r="B308" s="281" t="s">
        <v>115</v>
      </c>
      <c r="C308" s="281" t="s">
        <v>330</v>
      </c>
      <c r="D308" s="281" t="s">
        <v>112</v>
      </c>
      <c r="E308" s="281">
        <v>3</v>
      </c>
      <c r="F308" s="222" t="str">
        <f t="shared" si="49"/>
        <v>WORKFORCE-23</v>
      </c>
      <c r="G308" s="222">
        <f t="shared" si="47"/>
        <v>2</v>
      </c>
      <c r="H308" s="284">
        <f t="shared" ca="1" si="50"/>
        <v>0</v>
      </c>
      <c r="I308" s="284">
        <f t="shared" ca="1" si="51"/>
        <v>0</v>
      </c>
      <c r="J308" s="287" t="s">
        <v>330</v>
      </c>
      <c r="W308" s="278" t="str">
        <f ca="1">AB308&amp;"-"&amp;COUNTIF($AB$2:$AB308,$AB308)</f>
        <v>0-3-0-74</v>
      </c>
      <c r="X308" s="278" t="s">
        <v>330</v>
      </c>
      <c r="Y308" s="289">
        <f t="shared" ca="1" si="53"/>
        <v>0</v>
      </c>
      <c r="Z308" s="271">
        <v>3</v>
      </c>
      <c r="AA308" s="277">
        <f t="shared" ca="1" si="48"/>
        <v>0</v>
      </c>
      <c r="AB308" s="279" t="str">
        <f t="shared" ca="1" si="52"/>
        <v>0-3-0</v>
      </c>
    </row>
    <row r="309" spans="1:28" x14ac:dyDescent="0.25">
      <c r="A309" s="281" t="s">
        <v>80</v>
      </c>
      <c r="B309" s="281" t="s">
        <v>117</v>
      </c>
      <c r="C309" s="281" t="s">
        <v>331</v>
      </c>
      <c r="D309" s="281" t="s">
        <v>25</v>
      </c>
      <c r="E309" s="281">
        <v>1</v>
      </c>
      <c r="F309" s="222" t="str">
        <f t="shared" si="49"/>
        <v>WORKFORCE-31</v>
      </c>
      <c r="G309" s="222">
        <f t="shared" si="47"/>
        <v>2</v>
      </c>
      <c r="H309" s="284">
        <f t="shared" ca="1" si="50"/>
        <v>0</v>
      </c>
      <c r="I309" s="284">
        <f t="shared" ca="1" si="51"/>
        <v>0</v>
      </c>
      <c r="J309" s="287" t="s">
        <v>331</v>
      </c>
      <c r="W309" s="278" t="str">
        <f ca="1">AB309&amp;"-"&amp;COUNTIF($AB$2:$AB309,$AB309)</f>
        <v>0-1-0-58</v>
      </c>
      <c r="X309" s="278" t="s">
        <v>331</v>
      </c>
      <c r="Y309" s="289">
        <f t="shared" ca="1" si="53"/>
        <v>0</v>
      </c>
      <c r="Z309" s="271">
        <v>1</v>
      </c>
      <c r="AA309" s="277">
        <f t="shared" ca="1" si="48"/>
        <v>0</v>
      </c>
      <c r="AB309" s="279" t="str">
        <f t="shared" ca="1" si="52"/>
        <v>0-1-0</v>
      </c>
    </row>
    <row r="310" spans="1:28" x14ac:dyDescent="0.25">
      <c r="A310" s="281" t="s">
        <v>80</v>
      </c>
      <c r="B310" s="281" t="s">
        <v>117</v>
      </c>
      <c r="C310" s="281" t="s">
        <v>332</v>
      </c>
      <c r="D310" s="281" t="s">
        <v>26</v>
      </c>
      <c r="E310" s="281">
        <v>1</v>
      </c>
      <c r="F310" s="222" t="str">
        <f t="shared" si="49"/>
        <v>WORKFORCE-31</v>
      </c>
      <c r="G310" s="222">
        <f t="shared" si="47"/>
        <v>2</v>
      </c>
      <c r="H310" s="284">
        <f t="shared" ca="1" si="50"/>
        <v>0</v>
      </c>
      <c r="I310" s="284">
        <f t="shared" ca="1" si="51"/>
        <v>0</v>
      </c>
      <c r="J310" s="287" t="s">
        <v>332</v>
      </c>
      <c r="W310" s="278" t="str">
        <f ca="1">AB310&amp;"-"&amp;COUNTIF($AB$2:$AB310,$AB310)</f>
        <v>0-1-0-59</v>
      </c>
      <c r="X310" s="278" t="s">
        <v>332</v>
      </c>
      <c r="Y310" s="289">
        <f t="shared" ref="Y310:Y326" ca="1" si="54">VLOOKUP(LEFT($X310,LEN($X310)-1),$K:$O,5,FALSE)</f>
        <v>0</v>
      </c>
      <c r="Z310" s="271">
        <v>1</v>
      </c>
      <c r="AA310" s="277">
        <f t="shared" ca="1" si="48"/>
        <v>0</v>
      </c>
      <c r="AB310" s="279" t="str">
        <f t="shared" ca="1" si="52"/>
        <v>0-1-0</v>
      </c>
    </row>
    <row r="311" spans="1:28" x14ac:dyDescent="0.25">
      <c r="A311" s="281" t="s">
        <v>80</v>
      </c>
      <c r="B311" s="281" t="s">
        <v>117</v>
      </c>
      <c r="C311" s="281" t="s">
        <v>333</v>
      </c>
      <c r="D311" s="281" t="s">
        <v>27</v>
      </c>
      <c r="E311" s="281">
        <v>2</v>
      </c>
      <c r="F311" s="222" t="str">
        <f t="shared" si="49"/>
        <v>WORKFORCE-32</v>
      </c>
      <c r="G311" s="222">
        <f t="shared" si="47"/>
        <v>2</v>
      </c>
      <c r="H311" s="284">
        <f t="shared" ca="1" si="50"/>
        <v>0</v>
      </c>
      <c r="I311" s="284">
        <f t="shared" ca="1" si="51"/>
        <v>0</v>
      </c>
      <c r="J311" s="287" t="s">
        <v>333</v>
      </c>
      <c r="W311" s="278" t="str">
        <f ca="1">AB311&amp;"-"&amp;COUNTIF($AB$2:$AB311,$AB311)</f>
        <v>0-2-0-97</v>
      </c>
      <c r="X311" s="278" t="s">
        <v>333</v>
      </c>
      <c r="Y311" s="289">
        <f t="shared" ca="1" si="54"/>
        <v>0</v>
      </c>
      <c r="Z311" s="271">
        <v>2</v>
      </c>
      <c r="AA311" s="277">
        <f t="shared" ca="1" si="48"/>
        <v>0</v>
      </c>
      <c r="AB311" s="279" t="str">
        <f t="shared" ca="1" si="52"/>
        <v>0-2-0</v>
      </c>
    </row>
    <row r="312" spans="1:28" x14ac:dyDescent="0.25">
      <c r="A312" s="281" t="s">
        <v>80</v>
      </c>
      <c r="B312" s="281" t="s">
        <v>117</v>
      </c>
      <c r="C312" s="281" t="s">
        <v>334</v>
      </c>
      <c r="D312" s="281" t="s">
        <v>28</v>
      </c>
      <c r="E312" s="281">
        <v>2</v>
      </c>
      <c r="F312" s="222" t="str">
        <f t="shared" si="49"/>
        <v>WORKFORCE-32</v>
      </c>
      <c r="G312" s="222">
        <f t="shared" si="47"/>
        <v>2</v>
      </c>
      <c r="H312" s="284">
        <f t="shared" ca="1" si="50"/>
        <v>0</v>
      </c>
      <c r="I312" s="284">
        <f t="shared" ca="1" si="51"/>
        <v>0</v>
      </c>
      <c r="J312" s="287" t="s">
        <v>334</v>
      </c>
      <c r="W312" s="278" t="str">
        <f ca="1">AB312&amp;"-"&amp;COUNTIF($AB$2:$AB312,$AB312)</f>
        <v>0-2-0-98</v>
      </c>
      <c r="X312" s="278" t="s">
        <v>334</v>
      </c>
      <c r="Y312" s="289">
        <f t="shared" ca="1" si="54"/>
        <v>0</v>
      </c>
      <c r="Z312" s="271">
        <v>2</v>
      </c>
      <c r="AA312" s="277">
        <f t="shared" ca="1" si="48"/>
        <v>0</v>
      </c>
      <c r="AB312" s="279" t="str">
        <f t="shared" ca="1" si="52"/>
        <v>0-2-0</v>
      </c>
    </row>
    <row r="313" spans="1:28" x14ac:dyDescent="0.25">
      <c r="A313" s="281" t="s">
        <v>80</v>
      </c>
      <c r="B313" s="281" t="s">
        <v>117</v>
      </c>
      <c r="C313" s="281" t="s">
        <v>335</v>
      </c>
      <c r="D313" s="281" t="s">
        <v>29</v>
      </c>
      <c r="E313" s="281">
        <v>3</v>
      </c>
      <c r="F313" s="222" t="str">
        <f t="shared" si="49"/>
        <v>WORKFORCE-33</v>
      </c>
      <c r="G313" s="222">
        <f t="shared" si="47"/>
        <v>2</v>
      </c>
      <c r="H313" s="284">
        <f t="shared" ca="1" si="50"/>
        <v>0</v>
      </c>
      <c r="I313" s="284">
        <f t="shared" ca="1" si="51"/>
        <v>0</v>
      </c>
      <c r="J313" s="287" t="s">
        <v>335</v>
      </c>
      <c r="W313" s="278" t="str">
        <f ca="1">AB313&amp;"-"&amp;COUNTIF($AB$2:$AB313,$AB313)</f>
        <v>0-3-0-75</v>
      </c>
      <c r="X313" s="278" t="s">
        <v>335</v>
      </c>
      <c r="Y313" s="289">
        <f t="shared" ca="1" si="54"/>
        <v>0</v>
      </c>
      <c r="Z313" s="271">
        <v>3</v>
      </c>
      <c r="AA313" s="277">
        <f t="shared" ca="1" si="48"/>
        <v>0</v>
      </c>
      <c r="AB313" s="279" t="str">
        <f t="shared" ca="1" si="52"/>
        <v>0-3-0</v>
      </c>
    </row>
    <row r="314" spans="1:28" x14ac:dyDescent="0.25">
      <c r="A314" s="281" t="s">
        <v>80</v>
      </c>
      <c r="B314" s="281" t="s">
        <v>117</v>
      </c>
      <c r="C314" s="281" t="s">
        <v>336</v>
      </c>
      <c r="D314" s="281" t="s">
        <v>30</v>
      </c>
      <c r="E314" s="281">
        <v>3</v>
      </c>
      <c r="F314" s="222" t="str">
        <f t="shared" si="49"/>
        <v>WORKFORCE-33</v>
      </c>
      <c r="G314" s="222">
        <f t="shared" si="47"/>
        <v>2</v>
      </c>
      <c r="H314" s="284">
        <f t="shared" ca="1" si="50"/>
        <v>0</v>
      </c>
      <c r="I314" s="284">
        <f t="shared" ca="1" si="51"/>
        <v>0</v>
      </c>
      <c r="J314" s="287" t="s">
        <v>336</v>
      </c>
      <c r="W314" s="278" t="str">
        <f ca="1">AB314&amp;"-"&amp;COUNTIF($AB$2:$AB314,$AB314)</f>
        <v>0-3-0-76</v>
      </c>
      <c r="X314" s="278" t="s">
        <v>336</v>
      </c>
      <c r="Y314" s="289">
        <f t="shared" ca="1" si="54"/>
        <v>0</v>
      </c>
      <c r="Z314" s="271">
        <v>3</v>
      </c>
      <c r="AA314" s="277">
        <f t="shared" ca="1" si="48"/>
        <v>0</v>
      </c>
      <c r="AB314" s="279" t="str">
        <f t="shared" ca="1" si="52"/>
        <v>0-3-0</v>
      </c>
    </row>
    <row r="315" spans="1:28" x14ac:dyDescent="0.25">
      <c r="A315" s="281" t="s">
        <v>80</v>
      </c>
      <c r="B315" s="281" t="s">
        <v>119</v>
      </c>
      <c r="C315" s="281" t="s">
        <v>337</v>
      </c>
      <c r="D315" s="281" t="s">
        <v>126</v>
      </c>
      <c r="E315" s="281">
        <v>1</v>
      </c>
      <c r="F315" s="222" t="str">
        <f t="shared" si="49"/>
        <v>WORKFORCE-41</v>
      </c>
      <c r="G315" s="222">
        <f t="shared" si="47"/>
        <v>1</v>
      </c>
      <c r="H315" s="284">
        <f t="shared" ca="1" si="50"/>
        <v>0</v>
      </c>
      <c r="I315" s="284">
        <f t="shared" ca="1" si="51"/>
        <v>0</v>
      </c>
      <c r="J315" s="287" t="s">
        <v>337</v>
      </c>
      <c r="W315" s="278" t="str">
        <f ca="1">AB315&amp;"-"&amp;COUNTIF($AB$2:$AB315,$AB315)</f>
        <v>0-1-0-60</v>
      </c>
      <c r="X315" s="278" t="s">
        <v>337</v>
      </c>
      <c r="Y315" s="289">
        <f t="shared" ca="1" si="54"/>
        <v>0</v>
      </c>
      <c r="Z315" s="271">
        <v>1</v>
      </c>
      <c r="AA315" s="277">
        <f t="shared" ca="1" si="48"/>
        <v>0</v>
      </c>
      <c r="AB315" s="279" t="str">
        <f t="shared" ca="1" si="52"/>
        <v>0-1-0</v>
      </c>
    </row>
    <row r="316" spans="1:28" x14ac:dyDescent="0.25">
      <c r="A316" s="281" t="s">
        <v>80</v>
      </c>
      <c r="B316" s="281" t="s">
        <v>119</v>
      </c>
      <c r="C316" s="281" t="s">
        <v>338</v>
      </c>
      <c r="D316" s="281" t="s">
        <v>129</v>
      </c>
      <c r="E316" s="281">
        <v>2</v>
      </c>
      <c r="F316" s="222" t="str">
        <f t="shared" si="49"/>
        <v>WORKFORCE-42</v>
      </c>
      <c r="G316" s="222">
        <f t="shared" si="47"/>
        <v>2</v>
      </c>
      <c r="H316" s="284">
        <f t="shared" ca="1" si="50"/>
        <v>0</v>
      </c>
      <c r="I316" s="284">
        <f t="shared" ca="1" si="51"/>
        <v>0</v>
      </c>
      <c r="J316" s="287" t="s">
        <v>338</v>
      </c>
      <c r="W316" s="278" t="str">
        <f ca="1">AB316&amp;"-"&amp;COUNTIF($AB$2:$AB316,$AB316)</f>
        <v>0-2-0-99</v>
      </c>
      <c r="X316" s="278" t="s">
        <v>338</v>
      </c>
      <c r="Y316" s="289">
        <f t="shared" ca="1" si="54"/>
        <v>0</v>
      </c>
      <c r="Z316" s="271">
        <v>2</v>
      </c>
      <c r="AA316" s="277">
        <f t="shared" ca="1" si="48"/>
        <v>0</v>
      </c>
      <c r="AB316" s="279" t="str">
        <f t="shared" ca="1" si="52"/>
        <v>0-2-0</v>
      </c>
    </row>
    <row r="317" spans="1:28" x14ac:dyDescent="0.25">
      <c r="A317" s="281" t="s">
        <v>80</v>
      </c>
      <c r="B317" s="281" t="s">
        <v>119</v>
      </c>
      <c r="C317" s="281" t="s">
        <v>339</v>
      </c>
      <c r="D317" s="281" t="s">
        <v>132</v>
      </c>
      <c r="E317" s="281">
        <v>2</v>
      </c>
      <c r="F317" s="222" t="str">
        <f t="shared" si="49"/>
        <v>WORKFORCE-42</v>
      </c>
      <c r="G317" s="222">
        <f t="shared" si="47"/>
        <v>2</v>
      </c>
      <c r="H317" s="284">
        <f t="shared" ca="1" si="50"/>
        <v>0</v>
      </c>
      <c r="I317" s="284">
        <f t="shared" ca="1" si="51"/>
        <v>0</v>
      </c>
      <c r="J317" s="287" t="s">
        <v>339</v>
      </c>
      <c r="W317" s="278" t="str">
        <f ca="1">AB317&amp;"-"&amp;COUNTIF($AB$2:$AB317,$AB317)</f>
        <v>0-2-0-100</v>
      </c>
      <c r="X317" s="278" t="s">
        <v>339</v>
      </c>
      <c r="Y317" s="289">
        <f t="shared" ca="1" si="54"/>
        <v>0</v>
      </c>
      <c r="Z317" s="271">
        <v>2</v>
      </c>
      <c r="AA317" s="277">
        <f t="shared" ca="1" si="48"/>
        <v>0</v>
      </c>
      <c r="AB317" s="279" t="str">
        <f t="shared" ca="1" si="52"/>
        <v>0-2-0</v>
      </c>
    </row>
    <row r="318" spans="1:28" x14ac:dyDescent="0.25">
      <c r="A318" s="281" t="s">
        <v>80</v>
      </c>
      <c r="B318" s="281" t="s">
        <v>119</v>
      </c>
      <c r="C318" s="281" t="s">
        <v>340</v>
      </c>
      <c r="D318" s="281" t="s">
        <v>135</v>
      </c>
      <c r="E318" s="281">
        <v>3</v>
      </c>
      <c r="F318" s="222" t="str">
        <f t="shared" si="49"/>
        <v>WORKFORCE-43</v>
      </c>
      <c r="G318" s="222">
        <f t="shared" si="47"/>
        <v>2</v>
      </c>
      <c r="H318" s="284">
        <f t="shared" ca="1" si="50"/>
        <v>0</v>
      </c>
      <c r="I318" s="284">
        <f t="shared" ca="1" si="51"/>
        <v>0</v>
      </c>
      <c r="J318" s="287" t="s">
        <v>340</v>
      </c>
      <c r="W318" s="278" t="str">
        <f ca="1">AB318&amp;"-"&amp;COUNTIF($AB$2:$AB318,$AB318)</f>
        <v>0-3-0-77</v>
      </c>
      <c r="X318" s="278" t="s">
        <v>340</v>
      </c>
      <c r="Y318" s="289">
        <f t="shared" ca="1" si="54"/>
        <v>0</v>
      </c>
      <c r="Z318" s="271">
        <v>3</v>
      </c>
      <c r="AA318" s="277">
        <f t="shared" ca="1" si="48"/>
        <v>0</v>
      </c>
      <c r="AB318" s="279" t="str">
        <f t="shared" ca="1" si="52"/>
        <v>0-3-0</v>
      </c>
    </row>
    <row r="319" spans="1:28" x14ac:dyDescent="0.25">
      <c r="A319" s="281" t="s">
        <v>80</v>
      </c>
      <c r="B319" s="281" t="s">
        <v>119</v>
      </c>
      <c r="C319" s="281" t="s">
        <v>341</v>
      </c>
      <c r="D319" s="281" t="s">
        <v>138</v>
      </c>
      <c r="E319" s="281">
        <v>3</v>
      </c>
      <c r="F319" s="222" t="str">
        <f t="shared" si="49"/>
        <v>WORKFORCE-43</v>
      </c>
      <c r="G319" s="222">
        <f t="shared" si="47"/>
        <v>2</v>
      </c>
      <c r="H319" s="284">
        <f t="shared" ca="1" si="50"/>
        <v>0</v>
      </c>
      <c r="I319" s="284">
        <f t="shared" ca="1" si="51"/>
        <v>0</v>
      </c>
      <c r="J319" s="287" t="s">
        <v>341</v>
      </c>
      <c r="W319" s="278" t="str">
        <f ca="1">AB319&amp;"-"&amp;COUNTIF($AB$2:$AB319,$AB319)</f>
        <v>0-3-0-78</v>
      </c>
      <c r="X319" s="278" t="s">
        <v>341</v>
      </c>
      <c r="Y319" s="289">
        <f t="shared" ca="1" si="54"/>
        <v>0</v>
      </c>
      <c r="Z319" s="271">
        <v>3</v>
      </c>
      <c r="AA319" s="277">
        <f t="shared" ca="1" si="48"/>
        <v>0</v>
      </c>
      <c r="AB319" s="279" t="str">
        <f t="shared" ca="1" si="52"/>
        <v>0-3-0</v>
      </c>
    </row>
    <row r="320" spans="1:28" x14ac:dyDescent="0.25">
      <c r="A320" s="281" t="s">
        <v>80</v>
      </c>
      <c r="B320" s="281" t="s">
        <v>121</v>
      </c>
      <c r="C320" s="281" t="s">
        <v>342</v>
      </c>
      <c r="D320" s="281" t="s">
        <v>143</v>
      </c>
      <c r="E320" s="281">
        <v>2</v>
      </c>
      <c r="F320" s="222" t="str">
        <f t="shared" si="49"/>
        <v>WORKFORCE-52</v>
      </c>
      <c r="G320" s="222">
        <f t="shared" si="47"/>
        <v>4</v>
      </c>
      <c r="H320" s="284">
        <f t="shared" ca="1" si="50"/>
        <v>0</v>
      </c>
      <c r="I320" s="284">
        <f t="shared" ca="1" si="51"/>
        <v>0</v>
      </c>
      <c r="J320" s="287" t="s">
        <v>342</v>
      </c>
      <c r="W320" s="278" t="str">
        <f ca="1">AB320&amp;"-"&amp;COUNTIF($AB$2:$AB320,$AB320)</f>
        <v>1-2-0-44</v>
      </c>
      <c r="X320" s="278" t="s">
        <v>342</v>
      </c>
      <c r="Y320" s="289">
        <f t="shared" ca="1" si="54"/>
        <v>1</v>
      </c>
      <c r="Z320" s="271">
        <v>2</v>
      </c>
      <c r="AA320" s="277">
        <f t="shared" ca="1" si="48"/>
        <v>0</v>
      </c>
      <c r="AB320" s="279" t="str">
        <f t="shared" ca="1" si="52"/>
        <v>1-2-0</v>
      </c>
    </row>
    <row r="321" spans="1:28" x14ac:dyDescent="0.25">
      <c r="A321" s="281" t="s">
        <v>80</v>
      </c>
      <c r="B321" s="281" t="s">
        <v>121</v>
      </c>
      <c r="C321" s="281" t="s">
        <v>343</v>
      </c>
      <c r="D321" s="281" t="s">
        <v>146</v>
      </c>
      <c r="E321" s="281">
        <v>2</v>
      </c>
      <c r="F321" s="222" t="str">
        <f t="shared" si="49"/>
        <v>WORKFORCE-52</v>
      </c>
      <c r="G321" s="222">
        <f t="shared" si="47"/>
        <v>4</v>
      </c>
      <c r="H321" s="284">
        <f t="shared" ca="1" si="50"/>
        <v>0</v>
      </c>
      <c r="I321" s="284">
        <f t="shared" ca="1" si="51"/>
        <v>0</v>
      </c>
      <c r="J321" s="287" t="s">
        <v>343</v>
      </c>
      <c r="W321" s="278" t="str">
        <f ca="1">AB321&amp;"-"&amp;COUNTIF($AB$2:$AB321,$AB321)</f>
        <v>1-2-0-45</v>
      </c>
      <c r="X321" s="278" t="s">
        <v>343</v>
      </c>
      <c r="Y321" s="289">
        <f t="shared" ca="1" si="54"/>
        <v>1</v>
      </c>
      <c r="Z321" s="271">
        <v>2</v>
      </c>
      <c r="AA321" s="277">
        <f t="shared" ca="1" si="48"/>
        <v>0</v>
      </c>
      <c r="AB321" s="279" t="str">
        <f t="shared" ca="1" si="52"/>
        <v>1-2-0</v>
      </c>
    </row>
    <row r="322" spans="1:28" x14ac:dyDescent="0.25">
      <c r="A322" s="281" t="s">
        <v>80</v>
      </c>
      <c r="B322" s="281" t="s">
        <v>121</v>
      </c>
      <c r="C322" s="281" t="s">
        <v>344</v>
      </c>
      <c r="D322" s="281" t="s">
        <v>149</v>
      </c>
      <c r="E322" s="281">
        <v>2</v>
      </c>
      <c r="F322" s="222" t="str">
        <f t="shared" si="49"/>
        <v>WORKFORCE-52</v>
      </c>
      <c r="G322" s="222">
        <f t="shared" si="47"/>
        <v>4</v>
      </c>
      <c r="H322" s="284">
        <f t="shared" ca="1" si="50"/>
        <v>0</v>
      </c>
      <c r="I322" s="284">
        <f t="shared" ca="1" si="51"/>
        <v>0</v>
      </c>
      <c r="J322" s="287" t="s">
        <v>344</v>
      </c>
      <c r="W322" s="278" t="str">
        <f ca="1">AB322&amp;"-"&amp;COUNTIF($AB$2:$AB322,$AB322)</f>
        <v>1-2-0-46</v>
      </c>
      <c r="X322" s="278" t="s">
        <v>344</v>
      </c>
      <c r="Y322" s="289">
        <f t="shared" ca="1" si="54"/>
        <v>1</v>
      </c>
      <c r="Z322" s="271">
        <v>2</v>
      </c>
      <c r="AA322" s="277">
        <f t="shared" ca="1" si="48"/>
        <v>0</v>
      </c>
      <c r="AB322" s="279" t="str">
        <f t="shared" ca="1" si="52"/>
        <v>1-2-0</v>
      </c>
    </row>
    <row r="323" spans="1:28" x14ac:dyDescent="0.25">
      <c r="A323" s="281" t="s">
        <v>80</v>
      </c>
      <c r="B323" s="281" t="s">
        <v>121</v>
      </c>
      <c r="C323" s="281" t="s">
        <v>345</v>
      </c>
      <c r="D323" s="281" t="s">
        <v>152</v>
      </c>
      <c r="E323" s="281">
        <v>2</v>
      </c>
      <c r="F323" s="222" t="str">
        <f t="shared" si="49"/>
        <v>WORKFORCE-52</v>
      </c>
      <c r="G323" s="222">
        <f t="shared" si="47"/>
        <v>4</v>
      </c>
      <c r="H323" s="284">
        <f t="shared" ca="1" si="50"/>
        <v>0</v>
      </c>
      <c r="I323" s="284">
        <f t="shared" ref="I323:I326" ca="1" si="55">IFERROR(IF(H323&gt;2,1,0),0)</f>
        <v>0</v>
      </c>
      <c r="J323" s="287" t="s">
        <v>345</v>
      </c>
      <c r="W323" s="278" t="str">
        <f ca="1">AB323&amp;"-"&amp;COUNTIF($AB$2:$AB323,$AB323)</f>
        <v>1-2-0-47</v>
      </c>
      <c r="X323" s="278" t="s">
        <v>345</v>
      </c>
      <c r="Y323" s="289">
        <f t="shared" ca="1" si="54"/>
        <v>1</v>
      </c>
      <c r="Z323" s="271">
        <v>2</v>
      </c>
      <c r="AA323" s="277">
        <f t="shared" ca="1" si="48"/>
        <v>0</v>
      </c>
      <c r="AB323" s="279" t="str">
        <f t="shared" ca="1" si="52"/>
        <v>1-2-0</v>
      </c>
    </row>
    <row r="324" spans="1:28" x14ac:dyDescent="0.25">
      <c r="A324" s="281" t="s">
        <v>80</v>
      </c>
      <c r="B324" s="281" t="s">
        <v>121</v>
      </c>
      <c r="C324" s="281" t="s">
        <v>346</v>
      </c>
      <c r="D324" s="281" t="s">
        <v>154</v>
      </c>
      <c r="E324" s="281">
        <v>3</v>
      </c>
      <c r="F324" s="222" t="str">
        <f t="shared" si="49"/>
        <v>WORKFORCE-53</v>
      </c>
      <c r="G324" s="222">
        <f t="shared" si="47"/>
        <v>3</v>
      </c>
      <c r="H324" s="284">
        <f t="shared" ca="1" si="50"/>
        <v>0</v>
      </c>
      <c r="I324" s="284">
        <f t="shared" ca="1" si="55"/>
        <v>0</v>
      </c>
      <c r="J324" s="287" t="s">
        <v>346</v>
      </c>
      <c r="W324" s="278" t="str">
        <f ca="1">AB324&amp;"-"&amp;COUNTIF($AB$2:$AB324,$AB324)</f>
        <v>1-3-0-38</v>
      </c>
      <c r="X324" s="278" t="s">
        <v>346</v>
      </c>
      <c r="Y324" s="289">
        <f t="shared" ca="1" si="54"/>
        <v>1</v>
      </c>
      <c r="Z324" s="271">
        <v>3</v>
      </c>
      <c r="AA324" s="277">
        <f t="shared" ca="1" si="48"/>
        <v>0</v>
      </c>
      <c r="AB324" s="279" t="str">
        <f t="shared" ref="AB324:AB326" ca="1" si="56">Y324&amp;"-"&amp;Z324&amp;"-"&amp;AA324</f>
        <v>1-3-0</v>
      </c>
    </row>
    <row r="325" spans="1:28" x14ac:dyDescent="0.25">
      <c r="A325" s="281" t="s">
        <v>80</v>
      </c>
      <c r="B325" s="281" t="s">
        <v>121</v>
      </c>
      <c r="C325" s="281" t="s">
        <v>347</v>
      </c>
      <c r="D325" s="281" t="s">
        <v>156</v>
      </c>
      <c r="E325" s="281">
        <v>3</v>
      </c>
      <c r="F325" s="222" t="str">
        <f t="shared" si="49"/>
        <v>WORKFORCE-53</v>
      </c>
      <c r="G325" s="222">
        <f t="shared" si="47"/>
        <v>3</v>
      </c>
      <c r="H325" s="284">
        <f t="shared" ca="1" si="50"/>
        <v>0</v>
      </c>
      <c r="I325" s="284">
        <f t="shared" ca="1" si="55"/>
        <v>0</v>
      </c>
      <c r="J325" s="287" t="s">
        <v>347</v>
      </c>
      <c r="W325" s="278" t="str">
        <f ca="1">AB325&amp;"-"&amp;COUNTIF($AB$2:$AB325,$AB325)</f>
        <v>1-3-0-39</v>
      </c>
      <c r="X325" s="278" t="s">
        <v>347</v>
      </c>
      <c r="Y325" s="289">
        <f t="shared" ca="1" si="54"/>
        <v>1</v>
      </c>
      <c r="Z325" s="271">
        <v>3</v>
      </c>
      <c r="AA325" s="277">
        <f t="shared" ca="1" si="48"/>
        <v>0</v>
      </c>
      <c r="AB325" s="279" t="str">
        <f t="shared" ca="1" si="56"/>
        <v>1-3-0</v>
      </c>
    </row>
    <row r="326" spans="1:28" x14ac:dyDescent="0.25">
      <c r="A326" s="281" t="s">
        <v>80</v>
      </c>
      <c r="B326" s="281" t="s">
        <v>121</v>
      </c>
      <c r="C326" s="281" t="s">
        <v>348</v>
      </c>
      <c r="D326" s="281" t="s">
        <v>159</v>
      </c>
      <c r="E326" s="281">
        <v>3</v>
      </c>
      <c r="F326" s="222" t="str">
        <f t="shared" si="49"/>
        <v>WORKFORCE-53</v>
      </c>
      <c r="G326" s="222">
        <f t="shared" si="47"/>
        <v>3</v>
      </c>
      <c r="H326" s="284">
        <f t="shared" ca="1" si="50"/>
        <v>0</v>
      </c>
      <c r="I326" s="284">
        <f t="shared" ca="1" si="55"/>
        <v>0</v>
      </c>
      <c r="J326" s="287" t="s">
        <v>348</v>
      </c>
      <c r="W326" s="278" t="str">
        <f ca="1">AB326&amp;"-"&amp;COUNTIF($AB$2:$AB326,$AB326)</f>
        <v>1-3-0-40</v>
      </c>
      <c r="X326" s="278" t="s">
        <v>348</v>
      </c>
      <c r="Y326" s="289">
        <f t="shared" ca="1" si="54"/>
        <v>1</v>
      </c>
      <c r="Z326" s="271">
        <v>3</v>
      </c>
      <c r="AA326" s="277">
        <f t="shared" ca="1" si="48"/>
        <v>0</v>
      </c>
      <c r="AB326" s="279" t="str">
        <f t="shared" ca="1" si="56"/>
        <v>1-3-0</v>
      </c>
    </row>
  </sheetData>
  <sheetProtection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55"/>
  <sheetViews>
    <sheetView showGridLines="0" zoomScaleNormal="100" workbookViewId="0">
      <selection activeCell="I13" sqref="I13"/>
    </sheetView>
  </sheetViews>
  <sheetFormatPr defaultColWidth="9.28515625" defaultRowHeight="11.5" x14ac:dyDescent="0.25"/>
  <cols>
    <col min="1" max="2" width="1.640625" style="303" customWidth="1"/>
    <col min="3" max="3" width="2.640625" style="303" customWidth="1"/>
    <col min="4" max="4" width="2.640625" style="518" customWidth="1"/>
    <col min="5" max="5" width="38.7109375" style="303" customWidth="1"/>
    <col min="6" max="6" width="3.640625" style="303" customWidth="1"/>
    <col min="7" max="7" width="16.640625" style="451" customWidth="1"/>
    <col min="8" max="8" width="2.640625" style="519" customWidth="1"/>
    <col min="9" max="9" width="14.640625" style="451" customWidth="1"/>
    <col min="10" max="10" width="45.640625" style="520" customWidth="1"/>
    <col min="11" max="11" width="1.640625" style="303" customWidth="1"/>
    <col min="12" max="12" width="1.640625" style="521" customWidth="1"/>
    <col min="13" max="13" width="1.640625" style="522" customWidth="1"/>
    <col min="14" max="14" width="1.640625" style="521" customWidth="1"/>
    <col min="15" max="15" width="9.0703125" style="301" customWidth="1"/>
    <col min="16" max="16" width="9.0703125" style="440" customWidth="1"/>
    <col min="17" max="17" width="9.0703125" style="303" customWidth="1"/>
    <col min="18" max="16384" width="9.28515625" style="303"/>
  </cols>
  <sheetData>
    <row r="1" spans="1:16" x14ac:dyDescent="0.25">
      <c r="A1" s="297"/>
      <c r="B1" s="297"/>
      <c r="C1" s="297"/>
      <c r="D1" s="297"/>
      <c r="E1" s="297"/>
      <c r="F1" s="297"/>
      <c r="G1" s="438"/>
      <c r="H1" s="439"/>
      <c r="I1" s="438"/>
      <c r="J1" s="438"/>
      <c r="K1" s="297"/>
      <c r="L1" s="297"/>
      <c r="M1" s="300"/>
      <c r="N1" s="297"/>
    </row>
    <row r="2" spans="1:16" s="448" customFormat="1" ht="25" customHeight="1" x14ac:dyDescent="0.3">
      <c r="A2" s="441"/>
      <c r="B2" s="305"/>
      <c r="C2" s="442" t="s">
        <v>60</v>
      </c>
      <c r="D2" s="308"/>
      <c r="E2" s="443"/>
      <c r="F2" s="443"/>
      <c r="G2" s="443"/>
      <c r="H2" s="309"/>
      <c r="I2" s="444"/>
      <c r="J2" s="444"/>
      <c r="K2" s="310"/>
      <c r="L2" s="441"/>
      <c r="M2" s="445"/>
      <c r="N2" s="441"/>
      <c r="O2" s="446"/>
      <c r="P2" s="447"/>
    </row>
    <row r="3" spans="1:16" ht="25" customHeight="1" x14ac:dyDescent="0.35">
      <c r="A3" s="297"/>
      <c r="B3" s="323"/>
      <c r="C3" s="321" t="str">
        <f>IF(VLOOKUP($C$2,Languages!$A:$D,1,TRUE)=$C$2,VLOOKUP($C$2,Languages!$A:$D,Kybermittari!$C$7,TRUE),NA())</f>
        <v>Kriittisten palveluiden suojaaminen</v>
      </c>
      <c r="D3" s="449"/>
      <c r="E3" s="450"/>
      <c r="H3" s="452"/>
      <c r="I3" s="453"/>
      <c r="J3" s="453"/>
      <c r="K3" s="327"/>
      <c r="L3" s="297"/>
      <c r="M3" s="454"/>
      <c r="N3" s="297"/>
    </row>
    <row r="4" spans="1:16" ht="10" customHeight="1" x14ac:dyDescent="0.25">
      <c r="A4" s="297"/>
      <c r="B4" s="323"/>
      <c r="C4" s="455"/>
      <c r="D4" s="325"/>
      <c r="E4" s="325"/>
      <c r="F4" s="325"/>
      <c r="G4" s="325"/>
      <c r="H4" s="326"/>
      <c r="I4" s="326"/>
      <c r="J4" s="453"/>
      <c r="K4" s="327"/>
      <c r="L4" s="297"/>
      <c r="M4" s="454"/>
      <c r="N4" s="297"/>
    </row>
    <row r="5" spans="1:16" ht="34.5" customHeight="1" x14ac:dyDescent="0.25">
      <c r="A5" s="297"/>
      <c r="B5" s="323"/>
      <c r="C5" s="750" t="str">
        <f>IF(VLOOKUP(CONCATENATE(C2,"-0"),Languages!$A:$D,1,TRUE)=CONCATENATE(C2,"-0"),VLOOKUP(CONCATENATE(C2,"-0"),Languages!$A:$D,Kybermittari!$C$7,TRUE),NA())</f>
        <v>Organisaation tulee tunnistaa oma roolinsa yhteiskunnan kannalta kriittisten palveluiden tuottamisessa ja hallita riskejä sen mukaisesti.</v>
      </c>
      <c r="D5" s="750"/>
      <c r="E5" s="750"/>
      <c r="F5" s="750"/>
      <c r="G5" s="750"/>
      <c r="H5" s="750"/>
      <c r="I5" s="750"/>
      <c r="J5" s="750"/>
      <c r="K5" s="327"/>
      <c r="L5" s="297"/>
      <c r="M5" s="454"/>
      <c r="N5" s="297"/>
    </row>
    <row r="6" spans="1:16" ht="20" customHeight="1" x14ac:dyDescent="0.25">
      <c r="A6" s="297"/>
      <c r="B6" s="323"/>
      <c r="C6" s="456">
        <v>1</v>
      </c>
      <c r="D6" s="457" t="s">
        <v>2</v>
      </c>
      <c r="E6" s="458" t="str">
        <f>IF(VLOOKUP(CONCATENATE($C$2,"-",C6),Languages!$A:$D,1,TRUE)=CONCATENATE($C$2,"-",C6),VLOOKUP(CONCATENATE($C$2,"-",C6),Languages!$A:$D,Kybermittari!$C$7,TRUE),NA())</f>
        <v>Kriittisten palveluiden ja niiden riippuvuuksien tunnistaminen</v>
      </c>
      <c r="F6" s="374"/>
      <c r="G6" s="374"/>
      <c r="H6" s="374"/>
      <c r="I6" s="459" t="str">
        <f ca="1">VLOOKUP(VLOOKUP(CONCATENATE($C$2,"-",$C6),Data!$K:$O,5,FALSE),Parameters!$C$7:$F$10,Kybermittari!$C$7,FALSE)</f>
        <v>Kypsyystaso 0</v>
      </c>
      <c r="J6" s="460" t="str">
        <f>IF(VLOOKUP("GEN-TOTAL",Languages!$A:$D,1,TRUE)="GEN-TOTAL",VLOOKUP("GEN-TOTAL",Languages!$A:$D,Kybermittari!$C$7,TRUE),NA())</f>
        <v>Kokonaisarvio</v>
      </c>
      <c r="K6" s="327"/>
      <c r="L6" s="297"/>
      <c r="M6" s="454"/>
      <c r="N6" s="297"/>
    </row>
    <row r="7" spans="1:16" ht="20" customHeight="1" x14ac:dyDescent="0.25">
      <c r="A7" s="297"/>
      <c r="B7" s="323"/>
      <c r="C7" s="456">
        <v>2</v>
      </c>
      <c r="D7" s="457" t="s">
        <v>2</v>
      </c>
      <c r="E7" s="458" t="str">
        <f>IF(VLOOKUP(CONCATENATE($C$2,"-",C7),Languages!$A:$D,1,TRUE)=CONCATENATE($C$2,"-",C7),VLOOKUP(CONCATENATE($C$2,"-",C7),Languages!$A:$D,Kybermittari!$C$7,TRUE),NA())</f>
        <v>Kriittisten palveluiden hallinta</v>
      </c>
      <c r="F7" s="374"/>
      <c r="G7" s="374"/>
      <c r="H7" s="374"/>
      <c r="I7" s="459" t="str">
        <f ca="1">VLOOKUP(VLOOKUP(CONCATENATE($C$2,"-",$C7),Data!$K:$O,5,FALSE),Parameters!$C$7:$F$10,Kybermittari!$C$7,FALSE)</f>
        <v>Kypsyystaso 0</v>
      </c>
      <c r="J7" s="452" t="str">
        <f ca="1">VLOOKUP(VLOOKUP(CONCATENATE($C$2),Data!$K:$O,5,FALSE),Parameters!$C$7:$F$10,Kybermittari!$C$7,FALSE)</f>
        <v>Kypsyystaso 0</v>
      </c>
      <c r="K7" s="327"/>
      <c r="L7" s="297"/>
      <c r="M7" s="454"/>
      <c r="N7" s="297"/>
    </row>
    <row r="8" spans="1:16" ht="20" customHeight="1" x14ac:dyDescent="0.25">
      <c r="A8" s="297"/>
      <c r="B8" s="323"/>
      <c r="C8" s="456">
        <v>3</v>
      </c>
      <c r="D8" s="457" t="s">
        <v>2</v>
      </c>
      <c r="E8" s="458" t="str">
        <f>IF(VLOOKUP(CONCATENATE($C$2,"-",C8),Languages!$A:$D,1,TRUE)=CONCATENATE($C$2,"-",C8),VLOOKUP(CONCATENATE($C$2,"-",C8),Languages!$A:$D,Kybermittari!$C$7,TRUE),NA())</f>
        <v>Kriittisten palveluiden kyberhäiriöiden vaikutusten minimointi</v>
      </c>
      <c r="F8" s="374"/>
      <c r="G8" s="374"/>
      <c r="H8" s="374"/>
      <c r="I8" s="459" t="str">
        <f ca="1">VLOOKUP(VLOOKUP(CONCATENATE($C$2,"-",$C8),Data!$K:$O,5,FALSE),Parameters!$C$7:$F$10,Kybermittari!$C$7,FALSE)</f>
        <v>Kypsyystaso 0</v>
      </c>
      <c r="J8" s="374"/>
      <c r="K8" s="327"/>
      <c r="L8" s="297"/>
      <c r="M8" s="454"/>
      <c r="N8" s="297"/>
    </row>
    <row r="9" spans="1:16" s="343" customFormat="1" ht="30" customHeight="1" x14ac:dyDescent="0.3">
      <c r="A9" s="332"/>
      <c r="B9" s="461"/>
      <c r="C9" s="462">
        <v>1</v>
      </c>
      <c r="D9" s="462" t="str">
        <f>IF(VLOOKUP(CONCATENATE($C$2,"-",C9),Languages!$A:$D,1,TRUE)=CONCATENATE($C$2,"-",C9),VLOOKUP(CONCATENATE($C$2,"-",C9),Languages!$A:$D,Kybermittari!$C$7,TRUE),NA())</f>
        <v>Kriittisten palveluiden ja niiden riippuvuuksien tunnistaminen</v>
      </c>
      <c r="E9" s="336"/>
      <c r="F9" s="463"/>
      <c r="G9" s="463"/>
      <c r="H9" s="464"/>
      <c r="I9" s="464"/>
      <c r="J9" s="465"/>
      <c r="K9" s="466"/>
      <c r="L9" s="467"/>
      <c r="M9" s="454"/>
      <c r="N9" s="332"/>
      <c r="O9" s="341"/>
      <c r="P9" s="468"/>
    </row>
    <row r="10" spans="1:16" s="475" customFormat="1" ht="35" customHeight="1" x14ac:dyDescent="0.3">
      <c r="A10" s="469"/>
      <c r="B10" s="470"/>
      <c r="C10" s="745" t="str">
        <f>IF(VLOOKUP(CONCATENATE($C$2,"-",$C9,"-0"),Languages!$A:$D,1,TRUE)=CONCATENATE($C$2,"-",$C9,"-0"),VLOOKUP(CONCATENATE($C$2,"-",$C9,"-0"),Languages!$A:$D,Kybermittari!$C$7,TRUE),NA())</f>
        <v>Organisaation tulee tunnistaa oma roolinsa yhteiskunnan kannalta kriittisten palveluiden tuottamisessa, tietää mitä näiden palveluiden tuottaminen vaatii ja ymmärtää millaiset vaikutukset palveluiden vikaantumisella saattaisi olla.</v>
      </c>
      <c r="D10" s="745"/>
      <c r="E10" s="745"/>
      <c r="F10" s="745"/>
      <c r="G10" s="745"/>
      <c r="H10" s="745"/>
      <c r="I10" s="745"/>
      <c r="J10" s="745"/>
      <c r="K10" s="471"/>
      <c r="L10" s="469"/>
      <c r="M10" s="472"/>
      <c r="N10" s="469"/>
      <c r="O10" s="473"/>
      <c r="P10" s="474"/>
    </row>
    <row r="11" spans="1:16" s="486" customFormat="1" ht="20" customHeight="1" x14ac:dyDescent="0.3">
      <c r="A11" s="52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83"/>
      <c r="M11" s="472"/>
      <c r="N11" s="523"/>
      <c r="O11" s="484"/>
      <c r="P11" s="485"/>
    </row>
    <row r="12" spans="1:16" s="486" customFormat="1" ht="10" customHeight="1" x14ac:dyDescent="0.3">
      <c r="A12" s="523"/>
      <c r="B12" s="476"/>
      <c r="C12" s="487"/>
      <c r="D12" s="487"/>
      <c r="E12" s="488"/>
      <c r="F12" s="489"/>
      <c r="G12" s="490"/>
      <c r="H12" s="491"/>
      <c r="I12" s="488"/>
      <c r="J12" s="490"/>
      <c r="K12" s="482"/>
      <c r="L12" s="483"/>
      <c r="M12" s="472"/>
      <c r="N12" s="523"/>
      <c r="O12" s="484"/>
      <c r="P12" s="485"/>
    </row>
    <row r="13" spans="1:16" s="495" customFormat="1" ht="35" customHeight="1" x14ac:dyDescent="0.3">
      <c r="A13" s="469"/>
      <c r="B13" s="749"/>
      <c r="C13" s="743">
        <v>1</v>
      </c>
      <c r="D13" s="492" t="s">
        <v>7</v>
      </c>
      <c r="E13" s="742" t="str">
        <f>IF(VLOOKUP(CONCATENATE($C$2,"-",$D13),Languages!$A:$D,1,TRUE)=CONCATENATE($C$2,"-",$D13),VLOOKUP(CONCATENATE($C$2,"-",$D13),Languages!$A:$D,Kybermittari!$C$7,TRUE),NA())</f>
        <v>Organisaation tuottamat yhteiskunnalle kriittiset palvelut on tunnistettu ja dokumentoitu.</v>
      </c>
      <c r="F13" s="742"/>
      <c r="G13" s="742"/>
      <c r="H13" s="493">
        <f>IFERROR(INT(LEFT($I13,1)),0)</f>
        <v>0</v>
      </c>
      <c r="I13" s="54"/>
      <c r="J13" s="526"/>
      <c r="K13" s="494"/>
      <c r="L13" s="469"/>
      <c r="M13" s="472"/>
      <c r="N13" s="469"/>
      <c r="P13" s="496"/>
    </row>
    <row r="14" spans="1:16" s="495" customFormat="1" ht="35" customHeight="1" x14ac:dyDescent="0.3">
      <c r="A14" s="469"/>
      <c r="B14" s="749"/>
      <c r="C14" s="746"/>
      <c r="D14" s="492" t="s">
        <v>9</v>
      </c>
      <c r="E14" s="742" t="str">
        <f>IF(VLOOKUP(CONCATENATE($C$2,"-",$D14),Languages!$A:$D,1,TRUE)=CONCATENATE($C$2,"-",$D14),VLOOKUP(CONCATENATE($C$2,"-",$D14),Languages!$A:$D,Kybermittari!$C$7,TRUE),NA())</f>
        <v>(Yhteiskunnalle kriittisten) palveluiden tuottamiseen tarvittava data on tunnistettu ja dokumentoitu.</v>
      </c>
      <c r="F14" s="742"/>
      <c r="G14" s="742"/>
      <c r="H14" s="493">
        <f>IFERROR(INT(LEFT($I14,1)),0)</f>
        <v>0</v>
      </c>
      <c r="I14" s="54"/>
      <c r="J14" s="526"/>
      <c r="K14" s="494"/>
      <c r="L14" s="469"/>
      <c r="M14" s="472"/>
      <c r="N14" s="469"/>
      <c r="P14" s="496"/>
    </row>
    <row r="15" spans="1:16" s="495" customFormat="1" ht="35" customHeight="1" x14ac:dyDescent="0.3">
      <c r="A15" s="469"/>
      <c r="B15" s="749"/>
      <c r="C15" s="746"/>
      <c r="D15" s="492" t="s">
        <v>10</v>
      </c>
      <c r="E15" s="742" t="str">
        <f>IF(VLOOKUP(CONCATENATE($C$2,"-",$D15),Languages!$A:$D,1,TRUE)=CONCATENATE($C$2,"-",$D15),VLOOKUP(CONCATENATE($C$2,"-",$D15),Languages!$A:$D,Kybermittari!$C$7,TRUE),NA())</f>
        <v>Palveluiden tuottamiseen tarvittavat prosessit on tunnistettu ja dokumentoitu.</v>
      </c>
      <c r="F15" s="742"/>
      <c r="G15" s="742"/>
      <c r="H15" s="493">
        <f>IFERROR(INT(LEFT($I15,1)),0)</f>
        <v>0</v>
      </c>
      <c r="I15" s="54"/>
      <c r="J15" s="526"/>
      <c r="K15" s="494"/>
      <c r="L15" s="469"/>
      <c r="M15" s="472"/>
      <c r="N15" s="469"/>
      <c r="P15" s="497"/>
    </row>
    <row r="16" spans="1:16" s="495" customFormat="1" ht="35" customHeight="1" x14ac:dyDescent="0.3">
      <c r="A16" s="469"/>
      <c r="B16" s="749"/>
      <c r="C16" s="744"/>
      <c r="D16" s="492" t="s">
        <v>11</v>
      </c>
      <c r="E16" s="748" t="str">
        <f>IF(VLOOKUP(CONCATENATE($C$2,"-",$D16),Languages!$A:$D,1,TRUE)=CONCATENATE($C$2,"-",$D16),VLOOKUP(CONCATENATE($C$2,"-",$D16),Languages!$A:$D,Kybermittari!$C$7,TRUE),NA())</f>
        <v>Palveluiden tuottamiseen tarvittavat järjestelmät (IT- ja OT-omaisuus) on tunnistettu ja dokumentoitu.</v>
      </c>
      <c r="F16" s="748"/>
      <c r="G16" s="748"/>
      <c r="H16" s="493">
        <f>IFERROR(INT(LEFT($I16,1)),0)</f>
        <v>0</v>
      </c>
      <c r="I16" s="54"/>
      <c r="J16" s="526"/>
      <c r="K16" s="494"/>
      <c r="L16" s="469"/>
      <c r="M16" s="472"/>
      <c r="N16" s="469"/>
      <c r="P16" s="497"/>
    </row>
    <row r="17" spans="1:16" s="495" customFormat="1" ht="10" customHeight="1" x14ac:dyDescent="0.3">
      <c r="A17" s="469"/>
      <c r="B17" s="749"/>
      <c r="C17" s="498"/>
      <c r="D17" s="499"/>
      <c r="E17" s="500"/>
      <c r="F17" s="501"/>
      <c r="G17" s="501"/>
      <c r="H17" s="499"/>
      <c r="I17" s="502"/>
      <c r="J17" s="502"/>
      <c r="K17" s="494"/>
      <c r="L17" s="469"/>
      <c r="M17" s="472"/>
      <c r="N17" s="469"/>
      <c r="P17" s="497"/>
    </row>
    <row r="18" spans="1:16" s="495" customFormat="1" ht="35" customHeight="1" x14ac:dyDescent="0.3">
      <c r="A18" s="469"/>
      <c r="B18" s="749"/>
      <c r="C18" s="743">
        <v>2</v>
      </c>
      <c r="D18" s="503" t="s">
        <v>12</v>
      </c>
      <c r="E18" s="748" t="str">
        <f>IF(VLOOKUP(CONCATENATE($C$2,"-",$D18),Languages!$A:$D,1,TRUE)=CONCATENATE($C$2,"-",$D18),VLOOKUP(CONCATENATE($C$2,"-",$D18),Languages!$A:$D,Kybermittari!$C$7,TRUE),NA())</f>
        <v>Palveluiden tuottamiseen tarvittavat tilat ja laitteet on tunnistettu ja dokumentoitu.</v>
      </c>
      <c r="F18" s="748"/>
      <c r="G18" s="748"/>
      <c r="H18" s="493">
        <f>IFERROR(INT(LEFT($I18,1)),0)</f>
        <v>0</v>
      </c>
      <c r="I18" s="54"/>
      <c r="J18" s="527"/>
      <c r="K18" s="504"/>
      <c r="L18" s="524"/>
      <c r="M18" s="472"/>
      <c r="N18" s="524"/>
      <c r="P18" s="497"/>
    </row>
    <row r="19" spans="1:16" s="495" customFormat="1" ht="35" customHeight="1" x14ac:dyDescent="0.3">
      <c r="A19" s="469"/>
      <c r="B19" s="749"/>
      <c r="C19" s="746"/>
      <c r="D19" s="503" t="s">
        <v>13</v>
      </c>
      <c r="E19" s="748" t="str">
        <f>IF(VLOOKUP(CONCATENATE($C$2,"-",$D19),Languages!$A:$D,1,TRUE)=CONCATENATE($C$2,"-",$D19),VLOOKUP(CONCATENATE($C$2,"-",$D19),Languages!$A:$D,Kybermittari!$C$7,TRUE),NA())</f>
        <v>Palveluiden tuottamiseen tarvittavat toimitusketjut on tunnistettu ja dokumentoitu.</v>
      </c>
      <c r="F19" s="748"/>
      <c r="G19" s="748"/>
      <c r="H19" s="493">
        <f>IFERROR(INT(LEFT($I19,1)),0)</f>
        <v>0</v>
      </c>
      <c r="I19" s="54"/>
      <c r="J19" s="527"/>
      <c r="K19" s="504"/>
      <c r="L19" s="524"/>
      <c r="M19" s="472"/>
      <c r="N19" s="524"/>
      <c r="P19" s="497"/>
    </row>
    <row r="20" spans="1:16" s="495" customFormat="1" ht="60" customHeight="1" x14ac:dyDescent="0.3">
      <c r="A20" s="469"/>
      <c r="B20" s="747"/>
      <c r="C20" s="744"/>
      <c r="D20" s="503" t="s">
        <v>14</v>
      </c>
      <c r="E20" s="748" t="str">
        <f>IF(VLOOKUP(CONCATENATE($C$2,"-",$D20),Languages!$A:$D,1,TRUE)=CONCATENATE($C$2,"-",$D20),VLOOKUP(CONCATENATE($C$2,"-",$D20),Languages!$A:$D,Kybermittari!$C$7,TRUE),NA())</f>
        <v>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v>
      </c>
      <c r="F20" s="748"/>
      <c r="G20" s="748"/>
      <c r="H20" s="493">
        <f>IFERROR(INT(LEFT($I20,1)),0)</f>
        <v>0</v>
      </c>
      <c r="I20" s="54"/>
      <c r="J20" s="527"/>
      <c r="K20" s="504"/>
      <c r="L20" s="524"/>
      <c r="M20" s="472"/>
      <c r="N20" s="524"/>
      <c r="P20" s="497"/>
    </row>
    <row r="21" spans="1:16" s="495" customFormat="1" ht="10" customHeight="1" x14ac:dyDescent="0.3">
      <c r="A21" s="469"/>
      <c r="B21" s="747"/>
      <c r="C21" s="498"/>
      <c r="D21" s="499"/>
      <c r="E21" s="500"/>
      <c r="F21" s="501"/>
      <c r="G21" s="501"/>
      <c r="H21" s="499"/>
      <c r="I21" s="502"/>
      <c r="J21" s="502"/>
      <c r="K21" s="504"/>
      <c r="L21" s="524"/>
      <c r="M21" s="472"/>
      <c r="N21" s="524"/>
      <c r="P21" s="497"/>
    </row>
    <row r="22" spans="1:16" s="495" customFormat="1" ht="35" customHeight="1" x14ac:dyDescent="0.3">
      <c r="A22" s="469"/>
      <c r="B22" s="747"/>
      <c r="C22" s="505">
        <v>3</v>
      </c>
      <c r="D22" s="503" t="s">
        <v>15</v>
      </c>
      <c r="E22" s="748" t="str">
        <f>IF(VLOOKUP(CONCATENATE($C$2,"-",$D22),Languages!$A:$D,1,TRUE)=CONCATENATE($C$2,"-",$D22),VLOOKUP(CONCATENATE($C$2,"-",$D22),Languages!$A:$D,Kybermittari!$C$7,TRUE),NA())</f>
        <v>Palvelujen heikentymisen tai keskeytymisen aiheuttamat seurannaisvaikutukset yhteiskunnalle on tunnistettu ja dokumentoitu.</v>
      </c>
      <c r="F22" s="748"/>
      <c r="G22" s="748"/>
      <c r="H22" s="493">
        <f>IFERROR(INT(LEFT($I22,1)),0)</f>
        <v>0</v>
      </c>
      <c r="I22" s="54"/>
      <c r="J22" s="527"/>
      <c r="K22" s="504"/>
      <c r="L22" s="524"/>
      <c r="M22" s="472"/>
      <c r="N22" s="524"/>
      <c r="P22" s="497"/>
    </row>
    <row r="23" spans="1:16" s="343" customFormat="1" ht="30" customHeight="1" x14ac:dyDescent="0.3">
      <c r="A23" s="332"/>
      <c r="B23" s="461"/>
      <c r="C23" s="462">
        <v>2</v>
      </c>
      <c r="D23" s="462" t="str">
        <f>IF(VLOOKUP(CONCATENATE($C$2,"-",C23),Languages!$A:$D,1,TRUE)=CONCATENATE($C$2,"-",C23),VLOOKUP(CONCATENATE($C$2,"-",C23),Languages!$A:$D,Kybermittari!$C$7,TRUE),NA())</f>
        <v>Kriittisten palveluiden hallinta</v>
      </c>
      <c r="E23" s="336"/>
      <c r="F23" s="506"/>
      <c r="G23" s="506"/>
      <c r="H23" s="506"/>
      <c r="I23" s="506"/>
      <c r="J23" s="507"/>
      <c r="K23" s="339"/>
      <c r="L23" s="340"/>
      <c r="M23" s="454"/>
      <c r="N23" s="340"/>
      <c r="O23" s="341"/>
      <c r="P23" s="468"/>
    </row>
    <row r="24" spans="1:16" s="475" customFormat="1" ht="47" customHeight="1" x14ac:dyDescent="0.3">
      <c r="A24" s="469"/>
      <c r="B24" s="470"/>
      <c r="C24" s="745" t="str">
        <f>IF(VLOOKUP(CONCATENATE($C$2,"-",$C23,"-0"),Languages!$A:$D,1,TRUE)=CONCATENATE($C$2,"-",$C23,"-0"),VLOOKUP(CONCATENATE($C$2,"-",$C23,"-0"),Languages!$A:$D,Kybermittari!$C$7,TRUE),NA())</f>
        <v>Organisaation ylimmällä johdolla on vastuu riittävien resurssien turvaamisesta kriittisten palveluiden tuottamiseen ja päätöksentekovaltuuksien delegoinnista organisaatiossa siten, että päätöksenteko on tehokasta ja se tehdään oikeassa paikkaa. Kriittisten palveluiden toimittamiseen liittyvien tietoverkkojen ja -järjestelmien riskit tulee arvioida osana koko organisaation riskejä.</v>
      </c>
      <c r="D24" s="745"/>
      <c r="E24" s="745"/>
      <c r="F24" s="745"/>
      <c r="G24" s="745"/>
      <c r="H24" s="745"/>
      <c r="I24" s="745"/>
      <c r="J24" s="745"/>
      <c r="K24" s="471"/>
      <c r="L24" s="524"/>
      <c r="M24" s="472"/>
      <c r="N24" s="524"/>
      <c r="O24" s="473"/>
      <c r="P24" s="474"/>
    </row>
    <row r="25" spans="1:16" s="486" customFormat="1" ht="20" customHeight="1" x14ac:dyDescent="0.3">
      <c r="A25" s="52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483"/>
      <c r="M25" s="472"/>
      <c r="N25" s="523"/>
      <c r="O25" s="484"/>
      <c r="P25" s="497"/>
    </row>
    <row r="26" spans="1:16" s="486" customFormat="1" ht="10" customHeight="1" x14ac:dyDescent="0.3">
      <c r="A26" s="523"/>
      <c r="B26" s="476"/>
      <c r="C26" s="487"/>
      <c r="D26" s="487"/>
      <c r="E26" s="488"/>
      <c r="F26" s="489"/>
      <c r="G26" s="490"/>
      <c r="H26" s="491"/>
      <c r="I26" s="488"/>
      <c r="J26" s="490"/>
      <c r="K26" s="482"/>
      <c r="L26" s="483"/>
      <c r="M26" s="472"/>
      <c r="N26" s="523"/>
      <c r="O26" s="484"/>
      <c r="P26" s="485"/>
    </row>
    <row r="27" spans="1:16" s="510" customFormat="1" ht="45" customHeight="1" x14ac:dyDescent="0.3">
      <c r="A27" s="524"/>
      <c r="B27" s="741"/>
      <c r="C27" s="743">
        <v>1</v>
      </c>
      <c r="D27" s="508" t="s">
        <v>20</v>
      </c>
      <c r="E27" s="742" t="str">
        <f>IF(VLOOKUP(CONCATENATE($C$2,"-",$D27),Languages!$A:$D,1,TRUE)=CONCATENATE($C$2,"-",$D27),VLOOKUP(CONCATENATE($C$2,"-",$D27),Languages!$A:$D,Kybermittari!$C$7,TRUE),NA())</f>
        <v>Kaikki resurssit (data, prosessit, järjestelmät, tilat ja toimitusketjut), joita tarvitaan (yhteiskunnalle kriittisten) palveluiden tuottamiseen, ovat organisaation turvallisuuden hallinnan politiikkojen ja prosessien piirissä.</v>
      </c>
      <c r="F27" s="742"/>
      <c r="G27" s="742"/>
      <c r="H27" s="493">
        <f>IFERROR(INT(LEFT($I27,1)),0)</f>
        <v>0</v>
      </c>
      <c r="I27" s="54"/>
      <c r="J27" s="526"/>
      <c r="K27" s="509"/>
      <c r="L27" s="524"/>
      <c r="M27" s="472"/>
      <c r="N27" s="524"/>
      <c r="O27" s="495"/>
      <c r="P27" s="497"/>
    </row>
    <row r="28" spans="1:16" s="510" customFormat="1" ht="45" customHeight="1" x14ac:dyDescent="0.3">
      <c r="A28" s="524"/>
      <c r="B28" s="741"/>
      <c r="C28" s="744"/>
      <c r="D28" s="508" t="s">
        <v>21</v>
      </c>
      <c r="E28" s="742" t="str">
        <f>IF(VLOOKUP(CONCATENATE($C$2,"-",$D28),Languages!$A:$D,1,TRUE)=CONCATENATE($C$2,"-",$D28),VLOOKUP(CONCATENATE($C$2,"-",$D28),Languages!$A:$D,Kybermittari!$C$7,TRUE),NA())</f>
        <v>Kaikki resurssit (data, prosessit, järjestelmät, tilat ja toimitusketjut), joita tarvitaan yhteiskunnallisesti kriittisten palvelujen tuottamiseen, ovat organisaation riskienhallinnan politiikkojen ja prosessien piirissä.</v>
      </c>
      <c r="F28" s="742"/>
      <c r="G28" s="742"/>
      <c r="H28" s="493">
        <f>IFERROR(INT(LEFT($I28,1)),0)</f>
        <v>0</v>
      </c>
      <c r="I28" s="54"/>
      <c r="J28" s="527"/>
      <c r="K28" s="509"/>
      <c r="L28" s="524"/>
      <c r="M28" s="472"/>
      <c r="N28" s="524"/>
      <c r="O28" s="495"/>
      <c r="P28" s="497"/>
    </row>
    <row r="29" spans="1:16" s="510" customFormat="1" ht="10" customHeight="1" x14ac:dyDescent="0.3">
      <c r="A29" s="524"/>
      <c r="B29" s="511"/>
      <c r="C29" s="512"/>
      <c r="D29" s="513"/>
      <c r="E29" s="501"/>
      <c r="F29" s="501"/>
      <c r="G29" s="501"/>
      <c r="H29" s="499"/>
      <c r="I29" s="502"/>
      <c r="J29" s="514"/>
      <c r="K29" s="509"/>
      <c r="L29" s="524"/>
      <c r="M29" s="472"/>
      <c r="N29" s="524"/>
      <c r="O29" s="495"/>
      <c r="P29" s="497"/>
    </row>
    <row r="30" spans="1:16" s="510" customFormat="1" ht="60" customHeight="1" x14ac:dyDescent="0.3">
      <c r="A30" s="524"/>
      <c r="B30" s="741"/>
      <c r="C30" s="743">
        <v>2</v>
      </c>
      <c r="D30" s="508" t="s">
        <v>22</v>
      </c>
      <c r="E30" s="742" t="str">
        <f>IF(VLOOKUP(CONCATENATE($C$2,"-",$D30),Languages!$A:$D,1,TRUE)=CONCATENATE($C$2,"-",$D30),VLOOKUP(CONCATENATE($C$2,"-",$D30),Languages!$A:$D,Kybermittari!$C$7,TRUE),NA())</f>
        <v>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v>
      </c>
      <c r="F30" s="742"/>
      <c r="G30" s="742"/>
      <c r="H30" s="493">
        <f t="shared" ref="H30:H36" si="0">IFERROR(INT(LEFT($I30,1)),0)</f>
        <v>0</v>
      </c>
      <c r="I30" s="54"/>
      <c r="J30" s="527"/>
      <c r="K30" s="509"/>
      <c r="L30" s="524"/>
      <c r="M30" s="472"/>
      <c r="N30" s="524"/>
      <c r="O30" s="495"/>
      <c r="P30" s="515"/>
    </row>
    <row r="31" spans="1:16" s="510" customFormat="1" ht="45" customHeight="1" x14ac:dyDescent="0.3">
      <c r="A31" s="524"/>
      <c r="B31" s="741"/>
      <c r="C31" s="746"/>
      <c r="D31" s="508" t="s">
        <v>23</v>
      </c>
      <c r="E31" s="742" t="str">
        <f>IF(VLOOKUP(CONCATENATE($C$2,"-",$D31),Languages!$A:$D,1,TRUE)=CONCATENATE($C$2,"-",$D31),VLOOKUP(CONCATENATE($C$2,"-",$D31),Languages!$A:$D,Kybermittari!$C$7,TRUE),NA())</f>
        <v>Johtoryhmä käsittelee palveluiden tuottamiseen tarvittavien tietoverkkojen ja -järjestelmien turvallisuuden tasoa säännöllisesti; käyttäen pohjana ajantasaista ja tarkkaa tietoa sekä organisaation ammattilaisten asiantuntemusta.</v>
      </c>
      <c r="F31" s="742"/>
      <c r="G31" s="742"/>
      <c r="H31" s="493">
        <f t="shared" si="0"/>
        <v>0</v>
      </c>
      <c r="I31" s="54"/>
      <c r="J31" s="527"/>
      <c r="K31" s="509"/>
      <c r="L31" s="524"/>
      <c r="M31" s="472"/>
      <c r="N31" s="524"/>
      <c r="O31" s="495"/>
      <c r="P31" s="497"/>
    </row>
    <row r="32" spans="1:16" s="510" customFormat="1" ht="45" customHeight="1" x14ac:dyDescent="0.3">
      <c r="A32" s="524"/>
      <c r="B32" s="741"/>
      <c r="C32" s="746"/>
      <c r="D32" s="508" t="s">
        <v>24</v>
      </c>
      <c r="E32" s="742" t="str">
        <f>IF(VLOOKUP(CONCATENATE($C$2,"-",$D32),Languages!$A:$D,1,TRUE)=CONCATENATE($C$2,"-",$D32),VLOOKUP(CONCATENATE($C$2,"-",$D32),Languages!$A:$D,Kybermittari!$C$7,TRUE),NA())</f>
        <v>Johtoryhmän nimetyllä jäsenellä on vastuu palveluiden tuottamiseen tarvittavien tietoverkkojen ja -järjestelmien turvallisuuden tasosta. Henkilö ohjaa johtoryhmän säännöllistä keskustelua aiheesta.</v>
      </c>
      <c r="F32" s="742"/>
      <c r="G32" s="742"/>
      <c r="H32" s="493">
        <f t="shared" si="0"/>
        <v>0</v>
      </c>
      <c r="I32" s="54"/>
      <c r="J32" s="527"/>
      <c r="K32" s="509"/>
      <c r="L32" s="524"/>
      <c r="M32" s="472"/>
      <c r="N32" s="524"/>
      <c r="O32" s="495"/>
      <c r="P32" s="497"/>
    </row>
    <row r="33" spans="1:16" s="510" customFormat="1" ht="45" customHeight="1" x14ac:dyDescent="0.3">
      <c r="A33" s="524"/>
      <c r="B33" s="741"/>
      <c r="C33" s="746"/>
      <c r="D33" s="508" t="s">
        <v>112</v>
      </c>
      <c r="E33" s="742" t="str">
        <f>IF(VLOOKUP(CONCATENATE($C$2,"-",$D33),Languages!$A:$D,1,TRUE)=CONCATENATE($C$2,"-",$D33),VLOOKUP(CONCATENATE($C$2,"-",$D33),Languages!$A:$D,Kybermittari!$C$7,TRUE),NA())</f>
        <v>Johtoryhmä asettaa suunnan ja tahtotilan, joista johdetaan tehokkaita toimintatapoja tietoverkkojen ja -järjestelmien turvallisuuden valvontaan ja ohjaukseen.</v>
      </c>
      <c r="F33" s="742"/>
      <c r="G33" s="742"/>
      <c r="H33" s="493">
        <f t="shared" si="0"/>
        <v>0</v>
      </c>
      <c r="I33" s="54"/>
      <c r="J33" s="527"/>
      <c r="K33" s="509"/>
      <c r="L33" s="524"/>
      <c r="M33" s="472"/>
      <c r="N33" s="524"/>
      <c r="O33" s="495"/>
      <c r="P33" s="497"/>
    </row>
    <row r="34" spans="1:16" s="510" customFormat="1" ht="35" customHeight="1" x14ac:dyDescent="0.3">
      <c r="A34" s="524"/>
      <c r="B34" s="741"/>
      <c r="C34" s="746"/>
      <c r="D34" s="508" t="s">
        <v>176</v>
      </c>
      <c r="E34" s="742" t="str">
        <f>IF(VLOOKUP(CONCATENATE($C$2,"-",$D34),Languages!$A:$D,1,TRUE)=CONCATENATE($C$2,"-",$D34),VLOOKUP(CONCATENATE($C$2,"-",$D34),Languages!$A:$D,Kybermittari!$C$7,TRUE),NA())</f>
        <v>Organisaation ylimmällä johdolla on näkyvyys tärkeimpiin riskipäätöksiin läpi koko organisaation.</v>
      </c>
      <c r="F34" s="742"/>
      <c r="G34" s="742"/>
      <c r="H34" s="493">
        <f t="shared" si="0"/>
        <v>0</v>
      </c>
      <c r="I34" s="54"/>
      <c r="J34" s="527"/>
      <c r="K34" s="509"/>
      <c r="L34" s="524"/>
      <c r="M34" s="472"/>
      <c r="N34" s="524"/>
      <c r="O34" s="495"/>
      <c r="P34" s="497"/>
    </row>
    <row r="35" spans="1:16" s="510" customFormat="1" ht="75" customHeight="1" x14ac:dyDescent="0.3">
      <c r="A35" s="524"/>
      <c r="B35" s="741"/>
      <c r="C35" s="746"/>
      <c r="D35" s="508" t="s">
        <v>178</v>
      </c>
      <c r="E35" s="742" t="str">
        <f>IF(VLOOKUP(CONCATENATE($C$2,"-",$D35),Languages!$A:$D,1,TRUE)=CONCATENATE($C$2,"-",$D35),VLOOKUP(CONCATENATE($C$2,"-",$D35),Languages!$A:$D,Kybermittari!$C$7,TRUE),NA())</f>
        <v>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v>
      </c>
      <c r="F35" s="742"/>
      <c r="G35" s="742"/>
      <c r="H35" s="493">
        <f t="shared" si="0"/>
        <v>0</v>
      </c>
      <c r="I35" s="54"/>
      <c r="J35" s="527"/>
      <c r="K35" s="509"/>
      <c r="L35" s="524"/>
      <c r="M35" s="472"/>
      <c r="N35" s="524"/>
      <c r="O35" s="495"/>
      <c r="P35" s="497"/>
    </row>
    <row r="36" spans="1:16" s="510" customFormat="1" ht="45" customHeight="1" x14ac:dyDescent="0.3">
      <c r="A36" s="524"/>
      <c r="B36" s="741"/>
      <c r="C36" s="744"/>
      <c r="D36" s="508" t="s">
        <v>209</v>
      </c>
      <c r="E36" s="742" t="str">
        <f>IF(VLOOKUP(CONCATENATE($C$2,"-",$D36),Languages!$A:$D,1,TRUE)=CONCATENATE($C$2,"-",$D36),VLOOKUP(CONCATENATE($C$2,"-",$D36),Languages!$A:$D,Kybermittari!$C$7,TRUE),NA())</f>
        <v>Riskienhallinnan päätöksentekoa voidaan tarvittaessa delegoida tai korottaa ("escalate") läpi koko organisaation sellaisille henkilöille, joilla on sopivat tiedot, taidot ja valtuudet päätösten tekemiseen.</v>
      </c>
      <c r="F36" s="742"/>
      <c r="G36" s="742"/>
      <c r="H36" s="493">
        <f t="shared" si="0"/>
        <v>0</v>
      </c>
      <c r="I36" s="54"/>
      <c r="J36" s="527"/>
      <c r="K36" s="509"/>
      <c r="L36" s="524"/>
      <c r="M36" s="472"/>
      <c r="N36" s="524"/>
      <c r="O36" s="495"/>
      <c r="P36" s="497"/>
    </row>
    <row r="37" spans="1:16" s="510" customFormat="1" ht="10" customHeight="1" x14ac:dyDescent="0.3">
      <c r="A37" s="524"/>
      <c r="B37" s="741"/>
      <c r="C37" s="512"/>
      <c r="D37" s="513"/>
      <c r="E37" s="501"/>
      <c r="F37" s="501"/>
      <c r="G37" s="501"/>
      <c r="H37" s="499"/>
      <c r="I37" s="502"/>
      <c r="J37" s="514"/>
      <c r="K37" s="509"/>
      <c r="L37" s="524"/>
      <c r="M37" s="472"/>
      <c r="N37" s="524"/>
      <c r="O37" s="495"/>
      <c r="P37" s="497"/>
    </row>
    <row r="38" spans="1:16" s="510" customFormat="1" ht="35" customHeight="1" x14ac:dyDescent="0.3">
      <c r="A38" s="524"/>
      <c r="B38" s="741"/>
      <c r="C38" s="743">
        <v>3</v>
      </c>
      <c r="D38" s="508" t="s">
        <v>211</v>
      </c>
      <c r="E38" s="742" t="str">
        <f>IF(VLOOKUP(CONCATENATE($C$2,"-",$D38),Languages!$A:$D,1,TRUE)=CONCATENATE($C$2,"-",$D38),VLOOKUP(CONCATENATE($C$2,"-",$D38),Languages!$A:$D,Kybermittari!$C$7,TRUE),NA())</f>
        <v>Tehdyt riskienhallintapäätökset käydään läpi aika ajoin, jotta varmistutaan siitä, että ne ovat pysyneet relevantteina ja pätevinä.</v>
      </c>
      <c r="F38" s="742"/>
      <c r="G38" s="742"/>
      <c r="H38" s="493">
        <f>IFERROR(INT(LEFT($I38,1)),0)</f>
        <v>0</v>
      </c>
      <c r="I38" s="54"/>
      <c r="J38" s="527"/>
      <c r="K38" s="509"/>
      <c r="L38" s="524"/>
      <c r="M38" s="472"/>
      <c r="N38" s="524"/>
      <c r="O38" s="495"/>
      <c r="P38" s="497"/>
    </row>
    <row r="39" spans="1:16" s="510" customFormat="1" ht="47" customHeight="1" x14ac:dyDescent="0.3">
      <c r="A39" s="524"/>
      <c r="B39" s="741"/>
      <c r="C39" s="744"/>
      <c r="D39" s="508" t="s">
        <v>213</v>
      </c>
      <c r="E39" s="742" t="str">
        <f>IF(VLOOKUP(CONCATENATE($C$2,"-",$D39),Languages!$A:$D,1,TRUE)=CONCATENATE($C$2,"-",$D39),VLOOKUP(CONCATENATE($C$2,"-",$D39),Languages!$A:$D,Kybermittari!$C$7,TRUE),NA())</f>
        <v>Riskienhallintaprosessissa ja -päätöksenteossa otetaan huomioon resurssit (data, prosessit, järjestelmät, laitteet ja toimitusketju), kriittinen ajanjakso ja seurannaisvaikutukset [kts. CRITICAL-1b-h].</v>
      </c>
      <c r="F39" s="742"/>
      <c r="G39" s="742"/>
      <c r="H39" s="493">
        <f>IFERROR(INT(LEFT($I39,1)),0)</f>
        <v>0</v>
      </c>
      <c r="I39" s="54"/>
      <c r="J39" s="527"/>
      <c r="K39" s="509"/>
      <c r="L39" s="524"/>
      <c r="M39" s="472"/>
      <c r="N39" s="524"/>
      <c r="O39" s="495"/>
      <c r="P39" s="497"/>
    </row>
    <row r="40" spans="1:16" s="343" customFormat="1" ht="30" customHeight="1" x14ac:dyDescent="0.3">
      <c r="A40" s="332"/>
      <c r="B40" s="461"/>
      <c r="C40" s="462">
        <v>3</v>
      </c>
      <c r="D40" s="462" t="str">
        <f>IF(VLOOKUP(CONCATENATE($C$2,"-",C40),Languages!$A:$D,1,TRUE)=CONCATENATE($C$2,"-",C40),VLOOKUP(CONCATENATE($C$2,"-",C40),Languages!$A:$D,Kybermittari!$C$7,TRUE),NA())</f>
        <v>Kriittisten palveluiden kyberhäiriöiden vaikutusten minimointi</v>
      </c>
      <c r="E40" s="336"/>
      <c r="F40" s="506"/>
      <c r="G40" s="506"/>
      <c r="H40" s="506"/>
      <c r="I40" s="506"/>
      <c r="J40" s="507"/>
      <c r="K40" s="339"/>
      <c r="L40" s="340"/>
      <c r="M40" s="454"/>
      <c r="N40" s="340"/>
      <c r="O40" s="341"/>
      <c r="P40" s="468"/>
    </row>
    <row r="41" spans="1:16" s="475" customFormat="1" ht="47" customHeight="1" x14ac:dyDescent="0.3">
      <c r="A41" s="524"/>
      <c r="B41" s="525"/>
      <c r="C41" s="745" t="str">
        <f>IF(VLOOKUP(CONCATENATE($C$2,"-",$C40,"-0"),Languages!$A:$D,1,TRUE)=CONCATENATE($C$2,"-",$C40,"-0"),VLOOKUP(CONCATENATE($C$2,"-",$C40,"-0"),Languages!$A:$D,Kybermittari!$C$7,TRUE),NA())</f>
        <v>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v>
      </c>
      <c r="D41" s="745"/>
      <c r="E41" s="745"/>
      <c r="F41" s="745"/>
      <c r="G41" s="745"/>
      <c r="H41" s="745"/>
      <c r="I41" s="745"/>
      <c r="J41" s="745"/>
      <c r="K41" s="471"/>
      <c r="L41" s="524"/>
      <c r="M41" s="472"/>
      <c r="N41" s="524"/>
      <c r="O41" s="473"/>
      <c r="P41" s="474"/>
    </row>
    <row r="42" spans="1:16" s="486" customFormat="1" ht="20" customHeight="1" x14ac:dyDescent="0.3">
      <c r="A42" s="523"/>
      <c r="B42" s="476"/>
      <c r="C42" s="477" t="str">
        <f>IF(VLOOKUP("GEN-LEVEL",Languages!$A:$D,1,TRUE)="GEN-LEVEL",VLOOKUP("GEN-LEVEL",Languages!$A:$D,Kybermittari!$C$7,TRUE),NA())</f>
        <v>Taso</v>
      </c>
      <c r="D42" s="477"/>
      <c r="E42" s="478" t="str">
        <f>IF(VLOOKUP("GEN-PRACTICE",Languages!$A:$D,1,TRUE)="GEN-PRACTICE",VLOOKUP("GEN-PRACTICE",Languages!$A:$D,Kybermittari!$C$7,TRUE),NA())</f>
        <v>Käytäntö</v>
      </c>
      <c r="F42" s="479"/>
      <c r="G42" s="480"/>
      <c r="H42" s="481"/>
      <c r="I42" s="478" t="str">
        <f>IF(VLOOKUP("GEN-ANSWER",Languages!$A:$D,1,TRUE)="GEN-ANSWER",VLOOKUP("GEN-ANSWER",Languages!$A:$D,Kybermittari!$C$7,TRUE),NA())</f>
        <v>Vastaus</v>
      </c>
      <c r="J42" s="480" t="str">
        <f>IF(VLOOKUP("GEN-COMMENT",Languages!$A:$D,1,TRUE)="GEN-COMMENT",VLOOKUP("GEN-COMMENT",Languages!$A:$D,Kybermittari!$C$7,TRUE),NA())</f>
        <v>Kommentti ja viittaukset</v>
      </c>
      <c r="K42" s="482"/>
      <c r="L42" s="483"/>
      <c r="M42" s="472"/>
      <c r="N42" s="523"/>
      <c r="O42" s="484"/>
      <c r="P42" s="485"/>
    </row>
    <row r="43" spans="1:16" s="486" customFormat="1" ht="10" customHeight="1" x14ac:dyDescent="0.3">
      <c r="A43" s="523"/>
      <c r="B43" s="476"/>
      <c r="C43" s="487"/>
      <c r="D43" s="487"/>
      <c r="E43" s="488"/>
      <c r="F43" s="489"/>
      <c r="G43" s="490"/>
      <c r="H43" s="491"/>
      <c r="I43" s="488"/>
      <c r="J43" s="490"/>
      <c r="K43" s="482"/>
      <c r="L43" s="483"/>
      <c r="M43" s="472"/>
      <c r="N43" s="523"/>
      <c r="O43" s="484"/>
      <c r="P43" s="485"/>
    </row>
    <row r="44" spans="1:16" s="510" customFormat="1" ht="35" customHeight="1" x14ac:dyDescent="0.3">
      <c r="A44" s="524"/>
      <c r="B44" s="741"/>
      <c r="C44" s="743">
        <v>1</v>
      </c>
      <c r="D44" s="508" t="s">
        <v>25</v>
      </c>
      <c r="E44" s="742" t="str">
        <f>IF(VLOOKUP(CONCATENATE($C$2,"-",$D44),Languages!$A:$D,1,TRUE)=CONCATENATE($C$2,"-",$D44),VLOOKUP(CONCATENATE($C$2,"-",$D44),Languages!$A:$D,Kybermittari!$C$7,TRUE),NA())</f>
        <v>Organisaatiolla on kybertapahtumien ja -häiriöiden hallintasuunnitelma, joka kattaa kaikki (organisaation tuottamat yhteiskunnalle kriittiset) palvelut.</v>
      </c>
      <c r="F44" s="742"/>
      <c r="G44" s="742"/>
      <c r="H44" s="493">
        <f>IFERROR(INT(LEFT($I44,1)),0)</f>
        <v>0</v>
      </c>
      <c r="I44" s="54"/>
      <c r="J44" s="527"/>
      <c r="K44" s="509"/>
      <c r="L44" s="524"/>
      <c r="M44" s="472"/>
      <c r="N44" s="524"/>
      <c r="O44" s="495"/>
      <c r="P44" s="497"/>
    </row>
    <row r="45" spans="1:16" s="510" customFormat="1" ht="35" customHeight="1" x14ac:dyDescent="0.3">
      <c r="A45" s="524"/>
      <c r="B45" s="741"/>
      <c r="C45" s="746"/>
      <c r="D45" s="508" t="s">
        <v>26</v>
      </c>
      <c r="E45" s="742" t="str">
        <f>IF(VLOOKUP(CONCATENATE($C$2,"-",$D45),Languages!$A:$D,1,TRUE)=CONCATENATE($C$2,"-",$D45),VLOOKUP(CONCATENATE($C$2,"-",$D45),Languages!$A:$D,Kybermittari!$C$7,TRUE),NA())</f>
        <v>Hallintasuunnitelma rajoittuu tunnettuihin hyökkäyksiin, mutta kattaa perusteellisesti näiden hyökkäysten todennäköiset vaikutukset.</v>
      </c>
      <c r="F45" s="742"/>
      <c r="G45" s="742"/>
      <c r="H45" s="493">
        <f>IFERROR(INT(LEFT($I45,1)),0)</f>
        <v>0</v>
      </c>
      <c r="I45" s="54"/>
      <c r="J45" s="527"/>
      <c r="K45" s="509"/>
      <c r="L45" s="524"/>
      <c r="M45" s="472"/>
      <c r="N45" s="524"/>
      <c r="O45" s="495"/>
      <c r="P45" s="497"/>
    </row>
    <row r="46" spans="1:16" s="510" customFormat="1" ht="35" customHeight="1" x14ac:dyDescent="0.3">
      <c r="A46" s="524"/>
      <c r="B46" s="741"/>
      <c r="C46" s="746"/>
      <c r="D46" s="508" t="s">
        <v>27</v>
      </c>
      <c r="E46" s="742" t="str">
        <f>IF(VLOOKUP(CONCATENATE($C$2,"-",$D46),Languages!$A:$D,1,TRUE)=CONCATENATE($C$2,"-",$D46),VLOOKUP(CONCATENATE($C$2,"-",$D46),Languages!$A:$D,Kybermittari!$C$7,TRUE),NA())</f>
        <v>Kybertapahtumien ja -häiriöiden hallintaan osallistuva henkilöstö on sisäistänyt ja ymmärtää hallintasuunnitelman hyvin.</v>
      </c>
      <c r="F46" s="742"/>
      <c r="G46" s="742"/>
      <c r="H46" s="493">
        <f>IFERROR(INT(LEFT($I46,1)),0)</f>
        <v>0</v>
      </c>
      <c r="I46" s="54"/>
      <c r="J46" s="527"/>
      <c r="K46" s="509"/>
      <c r="L46" s="524"/>
      <c r="M46" s="472"/>
      <c r="N46" s="524"/>
      <c r="O46" s="495"/>
      <c r="P46" s="497"/>
    </row>
    <row r="47" spans="1:16" s="510" customFormat="1" ht="35" customHeight="1" x14ac:dyDescent="0.3">
      <c r="A47" s="524"/>
      <c r="B47" s="741"/>
      <c r="C47" s="744"/>
      <c r="D47" s="508" t="s">
        <v>28</v>
      </c>
      <c r="E47" s="742" t="str">
        <f>IF(VLOOKUP(CONCATENATE($C$2,"-",$D47),Languages!$A:$D,1,TRUE)=CONCATENATE($C$2,"-",$D47),VLOOKUP(CONCATENATE($C$2,"-",$D47),Languages!$A:$D,Kybermittari!$C$7,TRUE),NA())</f>
        <v>Hallintasuunnitelma on dokumentoitu ja se jaetaan kaikille relevanteille sidosryhmille.</v>
      </c>
      <c r="F47" s="742"/>
      <c r="G47" s="742"/>
      <c r="H47" s="493">
        <f>IFERROR(INT(LEFT($I47,1)),0)</f>
        <v>0</v>
      </c>
      <c r="I47" s="54"/>
      <c r="J47" s="527"/>
      <c r="K47" s="509"/>
      <c r="L47" s="524"/>
      <c r="M47" s="472"/>
      <c r="N47" s="524"/>
      <c r="O47" s="495"/>
      <c r="P47" s="497"/>
    </row>
    <row r="48" spans="1:16" s="510" customFormat="1" ht="10" customHeight="1" x14ac:dyDescent="0.3">
      <c r="A48" s="524"/>
      <c r="B48" s="511"/>
      <c r="C48" s="512"/>
      <c r="D48" s="513"/>
      <c r="E48" s="501"/>
      <c r="F48" s="501"/>
      <c r="G48" s="501"/>
      <c r="H48" s="499"/>
      <c r="I48" s="502"/>
      <c r="J48" s="514"/>
      <c r="K48" s="509"/>
      <c r="L48" s="524"/>
      <c r="M48" s="472"/>
      <c r="N48" s="524"/>
      <c r="O48" s="495"/>
      <c r="P48" s="497"/>
    </row>
    <row r="49" spans="1:16" s="510" customFormat="1" ht="47" customHeight="1" x14ac:dyDescent="0.3">
      <c r="A49" s="524"/>
      <c r="B49" s="741"/>
      <c r="C49" s="743">
        <v>2</v>
      </c>
      <c r="D49" s="508" t="s">
        <v>29</v>
      </c>
      <c r="E49" s="742" t="str">
        <f>IF(VLOOKUP(CONCATENATE($C$2,"-",$D49),Languages!$A:$D,1,TRUE)=CONCATENATE($C$2,"-",$D49),VLOOKUP(CONCATENATE($C$2,"-",$D49),Languages!$A:$D,Kybermittari!$C$7,TRUE),NA())</f>
        <v>Hallintasuunnitelma perustuu (yhteiskunnalle kriittisten palveluiden tuottamiseen tarvittavien) tietoverkkojen ja -järjestelmien riskien perusteelliseen tunnistamiseen ja ymmärtämiseen.</v>
      </c>
      <c r="F49" s="742"/>
      <c r="G49" s="742"/>
      <c r="H49" s="493">
        <f>IFERROR(INT(LEFT($I49,1)),0)</f>
        <v>0</v>
      </c>
      <c r="I49" s="54"/>
      <c r="J49" s="527"/>
      <c r="K49" s="509"/>
      <c r="L49" s="524"/>
      <c r="M49" s="472"/>
      <c r="N49" s="524"/>
      <c r="O49" s="495"/>
      <c r="P49" s="497"/>
    </row>
    <row r="50" spans="1:16" s="510" customFormat="1" ht="60" customHeight="1" x14ac:dyDescent="0.3">
      <c r="A50" s="524"/>
      <c r="B50" s="741"/>
      <c r="C50" s="744"/>
      <c r="D50" s="508" t="s">
        <v>30</v>
      </c>
      <c r="E50" s="742" t="str">
        <f>IF(VLOOKUP(CONCATENATE($C$2,"-",$D50),Languages!$A:$D,1,TRUE)=CONCATENATE($C$2,"-",$D50),VLOOKUP(CONCATENATE($C$2,"-",$D50),Languages!$A:$D,Kybermittari!$C$7,TRUE),NA())</f>
        <v>Hallintasuunnitelma kattaa perusteellisesti sekä tunnettujen hyökkäysten, että toistaiseksi tuntemattomien hyökkäysten todennäköiset vaikutukset. Suunnitelma kattaa perusteellisesti häiriön koko elinkaaren, roolit ja vastuut sekä raportointivelvoitteet.</v>
      </c>
      <c r="F50" s="742"/>
      <c r="G50" s="742"/>
      <c r="H50" s="493">
        <f>IFERROR(INT(LEFT($I50,1)),0)</f>
        <v>0</v>
      </c>
      <c r="I50" s="54"/>
      <c r="J50" s="527"/>
      <c r="K50" s="509"/>
      <c r="L50" s="524"/>
      <c r="M50" s="472"/>
      <c r="N50" s="524"/>
      <c r="O50" s="495"/>
      <c r="P50" s="497"/>
    </row>
    <row r="51" spans="1:16" s="510" customFormat="1" ht="10" customHeight="1" x14ac:dyDescent="0.3">
      <c r="A51" s="524"/>
      <c r="B51" s="741"/>
      <c r="C51" s="512"/>
      <c r="D51" s="513"/>
      <c r="E51" s="501"/>
      <c r="F51" s="501"/>
      <c r="G51" s="501"/>
      <c r="H51" s="499"/>
      <c r="I51" s="502"/>
      <c r="J51" s="514"/>
      <c r="K51" s="509"/>
      <c r="L51" s="524"/>
      <c r="M51" s="472"/>
      <c r="N51" s="524"/>
      <c r="O51" s="495"/>
      <c r="P51" s="497"/>
    </row>
    <row r="52" spans="1:16" s="510" customFormat="1" ht="35" customHeight="1" x14ac:dyDescent="0.3">
      <c r="A52" s="524"/>
      <c r="B52" s="741"/>
      <c r="C52" s="743">
        <v>3</v>
      </c>
      <c r="D52" s="508" t="s">
        <v>31</v>
      </c>
      <c r="E52" s="742" t="str">
        <f>IF(VLOOKUP(CONCATENATE($C$2,"-",$D52),Languages!$A:$D,1,TRUE)=CONCATENATE($C$2,"-",$D52),VLOOKUP(CONCATENATE($C$2,"-",$D52),Languages!$A:$D,Kybermittari!$C$7,TRUE),NA())</f>
        <v>Hallintasuunnitelma on dokumentoitu ja integroitu osaksi organisaation laajempaa liiketoiminnan ja toimitusketjujen jatkuvuudenhallintaa.</v>
      </c>
      <c r="F52" s="742"/>
      <c r="G52" s="742"/>
      <c r="H52" s="493">
        <f>IFERROR(INT(LEFT($I52,1)),0)</f>
        <v>0</v>
      </c>
      <c r="I52" s="54"/>
      <c r="J52" s="527"/>
      <c r="K52" s="509"/>
      <c r="L52" s="524"/>
      <c r="M52" s="472"/>
      <c r="N52" s="524"/>
      <c r="O52" s="495"/>
      <c r="P52" s="497"/>
    </row>
    <row r="53" spans="1:16" s="510" customFormat="1" ht="47" customHeight="1" x14ac:dyDescent="0.3">
      <c r="A53" s="524"/>
      <c r="B53" s="741"/>
      <c r="C53" s="744"/>
      <c r="D53" s="508" t="s">
        <v>247</v>
      </c>
      <c r="E53" s="742" t="str">
        <f>IF(VLOOKUP(CONCATENATE($C$2,"-",$D53),Languages!$A:$D,1,TRUE)=CONCATENATE($C$2,"-",$D53),VLOOKUP(CONCATENATE($C$2,"-",$D53),Languages!$A:$D,Kybermittari!$C$7,TRUE),NA())</f>
        <v>Kaikki yhteiskunnalle kriittisten palveluiden tuottamiseen osallistuvat organisaation liiketoimintayksiköt ovat saaneet ja sisäistäneet hallintasuunnitelman.</v>
      </c>
      <c r="F53" s="742"/>
      <c r="G53" s="742"/>
      <c r="H53" s="493">
        <f>IFERROR(INT(LEFT($I53,1)),0)</f>
        <v>0</v>
      </c>
      <c r="I53" s="54"/>
      <c r="J53" s="527"/>
      <c r="K53" s="509"/>
      <c r="L53" s="524"/>
      <c r="M53" s="472"/>
      <c r="N53" s="524"/>
      <c r="O53" s="495"/>
      <c r="P53" s="497"/>
    </row>
    <row r="54" spans="1:16" x14ac:dyDescent="0.25">
      <c r="A54" s="422"/>
      <c r="B54" s="423"/>
      <c r="C54" s="516"/>
      <c r="D54" s="424"/>
      <c r="E54" s="425"/>
      <c r="F54" s="425"/>
      <c r="G54" s="425"/>
      <c r="H54" s="427"/>
      <c r="I54" s="428"/>
      <c r="J54" s="517"/>
      <c r="K54" s="429"/>
      <c r="L54" s="422"/>
      <c r="M54" s="454"/>
      <c r="N54" s="422"/>
    </row>
    <row r="55" spans="1:16" x14ac:dyDescent="0.25">
      <c r="A55" s="422"/>
      <c r="B55" s="422"/>
      <c r="C55" s="422"/>
      <c r="D55" s="422"/>
      <c r="E55" s="422"/>
      <c r="F55" s="422"/>
      <c r="G55" s="422"/>
      <c r="H55" s="431"/>
      <c r="I55" s="422"/>
      <c r="J55" s="422"/>
      <c r="K55" s="422"/>
      <c r="L55" s="422"/>
      <c r="M55" s="432"/>
      <c r="N55" s="422"/>
    </row>
  </sheetData>
  <sheetProtection sheet="1" objects="1" scenarios="1"/>
  <mergeCells count="46">
    <mergeCell ref="C5:J5"/>
    <mergeCell ref="C10:J10"/>
    <mergeCell ref="B13:B14"/>
    <mergeCell ref="E13:G13"/>
    <mergeCell ref="E14:G14"/>
    <mergeCell ref="B20:B22"/>
    <mergeCell ref="E20:G20"/>
    <mergeCell ref="E22:G22"/>
    <mergeCell ref="C18:C20"/>
    <mergeCell ref="B15:B19"/>
    <mergeCell ref="E15:G15"/>
    <mergeCell ref="E16:G16"/>
    <mergeCell ref="E18:G18"/>
    <mergeCell ref="E19:G19"/>
    <mergeCell ref="C13:C16"/>
    <mergeCell ref="B30:B39"/>
    <mergeCell ref="E30:G30"/>
    <mergeCell ref="E38:G38"/>
    <mergeCell ref="E39:G39"/>
    <mergeCell ref="E31:G31"/>
    <mergeCell ref="E32:G32"/>
    <mergeCell ref="E33:G33"/>
    <mergeCell ref="E34:G34"/>
    <mergeCell ref="E35:G35"/>
    <mergeCell ref="E36:G36"/>
    <mergeCell ref="C30:C36"/>
    <mergeCell ref="C38:C39"/>
    <mergeCell ref="C24:J24"/>
    <mergeCell ref="B27:B28"/>
    <mergeCell ref="C27:C28"/>
    <mergeCell ref="E27:G27"/>
    <mergeCell ref="E28:G28"/>
    <mergeCell ref="C41:J41"/>
    <mergeCell ref="B44:B47"/>
    <mergeCell ref="C44:C47"/>
    <mergeCell ref="E44:G44"/>
    <mergeCell ref="E45:G45"/>
    <mergeCell ref="E46:G46"/>
    <mergeCell ref="E47:G47"/>
    <mergeCell ref="B49:B53"/>
    <mergeCell ref="E49:G49"/>
    <mergeCell ref="E50:G50"/>
    <mergeCell ref="E53:G53"/>
    <mergeCell ref="C49:C50"/>
    <mergeCell ref="C52:C53"/>
    <mergeCell ref="E52:G52"/>
  </mergeCells>
  <conditionalFormatting sqref="H1:H16 H18:H20 H22:H1048576">
    <cfRule type="containsText" dxfId="67" priority="5" operator="containsText" text="0">
      <formula>NOT(ISERROR(SEARCH("0",H1)))</formula>
    </cfRule>
  </conditionalFormatting>
  <conditionalFormatting sqref="H17">
    <cfRule type="containsText" dxfId="66" priority="3" operator="containsText" text="0">
      <formula>NOT(ISERROR(SEARCH("0",H17)))</formula>
    </cfRule>
  </conditionalFormatting>
  <conditionalFormatting sqref="H21">
    <cfRule type="containsText" dxfId="65" priority="1" operator="containsText" text="0">
      <formula>NOT(ISERROR(SEARCH("0",H21)))</formula>
    </cfRule>
  </conditionalFormatting>
  <pageMargins left="0.7" right="0.7" top="0.75" bottom="0.75" header="0.3" footer="0.3"/>
  <pageSetup paperSize="9" scale="53" orientation="portrait" r:id="rId1"/>
  <colBreaks count="1" manualBreakCount="1">
    <brk id="12" max="51" man="1"/>
  </colBreaks>
  <drawing r:id="rId2"/>
  <extLst>
    <ext xmlns:x14="http://schemas.microsoft.com/office/spreadsheetml/2009/9/main" uri="{78C0D931-6437-407d-A8EE-F0AAD7539E65}">
      <x14:conditionalFormattings>
        <x14:conditionalFormatting xmlns:xm="http://schemas.microsoft.com/office/excel/2006/main">
          <x14:cfRule type="iconSet" priority="6" id="{13C2B1B1-E218-409A-B450-6991325688F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H1:H16 H18:H20 H22:H1048576</xm:sqref>
        </x14:conditionalFormatting>
        <x14:conditionalFormatting xmlns:xm="http://schemas.microsoft.com/office/excel/2006/main">
          <x14:cfRule type="iconSet" priority="4" id="{FB3A09BB-5F40-45A2-94AF-98AE5642514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H17</xm:sqref>
        </x14:conditionalFormatting>
        <x14:conditionalFormatting xmlns:xm="http://schemas.microsoft.com/office/excel/2006/main">
          <x14:cfRule type="iconSet" priority="2" id="{ED6D7B59-BC8B-4632-9643-ED2CCDCB0E4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I13:I16 I18:I20 I22 I27:I28 I30:I36 I38:I39 I44:I47 I49:I50 I52:I53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3"/>
  <sheetViews>
    <sheetView zoomScale="85" zoomScaleNormal="85" workbookViewId="0">
      <selection activeCell="C9" sqref="C9"/>
    </sheetView>
  </sheetViews>
  <sheetFormatPr defaultRowHeight="13.5" x14ac:dyDescent="0.25"/>
  <cols>
    <col min="1" max="1" width="5.85546875" style="2" bestFit="1" customWidth="1"/>
    <col min="2" max="3" width="8.640625" style="2" customWidth="1"/>
    <col min="4" max="4" width="16.640625" style="246" customWidth="1"/>
    <col min="5" max="5" width="3.640625" style="2" customWidth="1"/>
    <col min="6" max="6" width="5.640625" style="50" customWidth="1"/>
    <col min="8" max="8" width="7.92578125" customWidth="1"/>
    <col min="9" max="9" width="12.640625" style="247" customWidth="1"/>
    <col min="11" max="11" width="9.140625" style="245"/>
    <col min="12" max="13" width="9.140625" style="52"/>
    <col min="14" max="15" width="3.640625" style="52" customWidth="1"/>
    <col min="16" max="16" width="9.140625" style="52"/>
    <col min="17" max="18" width="3.640625" style="52" customWidth="1"/>
    <col min="19" max="19" width="9.140625" style="52"/>
    <col min="20" max="21" width="3.640625" style="52" customWidth="1"/>
    <col min="22" max="22" width="9.140625" style="52"/>
    <col min="23" max="24" width="3.640625" style="52" customWidth="1"/>
    <col min="25" max="25" width="12.640625" customWidth="1"/>
  </cols>
  <sheetData>
    <row r="1" spans="1:33" ht="14" thickBot="1" x14ac:dyDescent="0.3">
      <c r="A1" s="292" t="s">
        <v>452</v>
      </c>
      <c r="B1" s="292" t="s">
        <v>979</v>
      </c>
      <c r="C1" s="292" t="s">
        <v>980</v>
      </c>
      <c r="D1" s="292" t="s">
        <v>41</v>
      </c>
      <c r="E1" s="292" t="s">
        <v>2501</v>
      </c>
      <c r="F1" s="38" t="s">
        <v>982</v>
      </c>
      <c r="G1" s="251" t="s">
        <v>2502</v>
      </c>
      <c r="H1" s="251" t="s">
        <v>2503</v>
      </c>
      <c r="K1" s="223" t="s">
        <v>1291</v>
      </c>
      <c r="L1" s="248" t="s">
        <v>595</v>
      </c>
      <c r="M1" s="248" t="s">
        <v>1294</v>
      </c>
      <c r="N1" s="248" t="s">
        <v>2633</v>
      </c>
      <c r="O1" s="248" t="s">
        <v>2632</v>
      </c>
      <c r="P1" s="146">
        <v>1</v>
      </c>
      <c r="Q1" s="248" t="s">
        <v>2633</v>
      </c>
      <c r="R1" s="248" t="s">
        <v>2632</v>
      </c>
      <c r="S1" s="146">
        <v>2</v>
      </c>
      <c r="T1" s="248" t="s">
        <v>2633</v>
      </c>
      <c r="U1" s="248" t="s">
        <v>2632</v>
      </c>
      <c r="V1" s="146">
        <v>3</v>
      </c>
      <c r="W1" s="248" t="s">
        <v>2633</v>
      </c>
      <c r="X1" s="248" t="s">
        <v>2632</v>
      </c>
      <c r="Z1" s="51" t="s">
        <v>32</v>
      </c>
      <c r="AA1" s="51"/>
      <c r="AB1" s="51" t="s">
        <v>2452</v>
      </c>
      <c r="AC1" s="34" t="s">
        <v>2453</v>
      </c>
      <c r="AD1" s="34" t="s">
        <v>2454</v>
      </c>
      <c r="AE1" s="34" t="s">
        <v>2455</v>
      </c>
      <c r="AF1" s="127"/>
      <c r="AG1" s="127"/>
    </row>
    <row r="2" spans="1:33" ht="14" x14ac:dyDescent="0.3">
      <c r="A2" s="293">
        <v>1</v>
      </c>
      <c r="B2" s="293" t="s">
        <v>1005</v>
      </c>
      <c r="C2" s="294" t="s">
        <v>1006</v>
      </c>
      <c r="D2" s="294" t="s">
        <v>92</v>
      </c>
      <c r="E2" s="294">
        <v>1</v>
      </c>
      <c r="F2" s="250">
        <f ca="1">VLOOKUP($D2,Data!$C:$I,7,FALSE)</f>
        <v>0</v>
      </c>
      <c r="G2" s="296" t="str">
        <f t="shared" ref="G2:G65" si="0">CONCATENATE($B2,$E2)</f>
        <v>ID.AM-11</v>
      </c>
      <c r="H2" s="296" t="str">
        <f t="shared" ref="H2:H65" ca="1" si="1">_xlfn.IFNA(CONCATENATE($B2,$E2,$F2),CONCATENATE($B2,$E2,0))</f>
        <v>ID.AM-110</v>
      </c>
      <c r="J2" s="263" t="s">
        <v>595</v>
      </c>
      <c r="K2" s="267" t="s">
        <v>1251</v>
      </c>
      <c r="L2" s="268" t="s">
        <v>1005</v>
      </c>
      <c r="M2" s="269">
        <f t="shared" ref="M2:M29" ca="1" si="2">IF(O2=0,0,N2/O2)</f>
        <v>0</v>
      </c>
      <c r="N2" s="270">
        <f t="shared" ref="N2:N29" ca="1" si="3">SUM(Q2+T2+W2)</f>
        <v>0</v>
      </c>
      <c r="O2" s="270">
        <f t="shared" ref="O2:O29" si="4">SUM(R2+U2+X2)</f>
        <v>4</v>
      </c>
      <c r="P2" s="269">
        <f t="shared" ref="P2:P29" ca="1" si="5">IF(R2=0,0,Q2/R2)</f>
        <v>0</v>
      </c>
      <c r="Q2" s="270">
        <f t="shared" ref="Q2:Q33" ca="1" si="6">COUNTIF($H:$H,CONCATENATE($L2,P$1,1))</f>
        <v>0</v>
      </c>
      <c r="R2" s="270">
        <f t="shared" ref="R2:R33" si="7">COUNTIF($G:$G,CONCATENATE($L2,P$1))</f>
        <v>1</v>
      </c>
      <c r="S2" s="269">
        <f t="shared" ref="S2:S29" ca="1" si="8">IF(U2=0,0,T2/U2)</f>
        <v>0</v>
      </c>
      <c r="T2" s="270">
        <f t="shared" ref="T2:T33" ca="1" si="9">COUNTIF($H:$H,CONCATENATE($L2,S$1,1))</f>
        <v>0</v>
      </c>
      <c r="U2" s="270">
        <f t="shared" ref="U2:U33" si="10">COUNTIF($G:$G,CONCATENATE($L2,S$1))</f>
        <v>1</v>
      </c>
      <c r="V2" s="269">
        <f t="shared" ref="V2:V29" ca="1" si="11">IF(X2=0,0,W2/X2)</f>
        <v>0</v>
      </c>
      <c r="W2" s="270">
        <f t="shared" ref="W2:W33" ca="1" si="12">COUNTIF($H:$H,CONCATENATE($L2,V$1,1))</f>
        <v>0</v>
      </c>
      <c r="X2" s="270">
        <f t="shared" ref="X2:X33" si="13">COUNTIF($G:$G,CONCATENATE($L2,V$1))</f>
        <v>2</v>
      </c>
      <c r="Y2" s="247"/>
      <c r="Z2" s="1"/>
      <c r="AA2" s="1"/>
      <c r="AB2" s="1"/>
      <c r="AC2" s="127" t="str">
        <f>IF(VLOOKUP(AC$1,Languages!$A:$D,1,TRUE)=AC$1,VLOOKUP(AC$1,Languages!$A:$D,Kybermittari!$C$7,TRUE),NA())</f>
        <v>Kyberturvallisuuden kypsyystaso</v>
      </c>
      <c r="AD2" s="127" t="str">
        <f>IF(VLOOKUP(AD$1,Languages!$A:$D,1,TRUE)=AD$1,VLOOKUP(AD$1,Languages!$A:$D,Kybermittari!$C$7,TRUE),NA())</f>
        <v>Nykytila</v>
      </c>
      <c r="AE2" s="127" t="str">
        <f>IF(VLOOKUP(AE$1,Languages!$A:$D,1,TRUE)=AE$1,VLOOKUP(AE$1,Languages!$A:$D,Kybermittari!$C$7,TRUE),NA())</f>
        <v>Edellinen</v>
      </c>
      <c r="AF2" s="126"/>
      <c r="AG2" s="143"/>
    </row>
    <row r="3" spans="1:33" ht="14" x14ac:dyDescent="0.3">
      <c r="A3" s="293">
        <v>2</v>
      </c>
      <c r="B3" s="293" t="s">
        <v>1005</v>
      </c>
      <c r="C3" s="294" t="s">
        <v>1007</v>
      </c>
      <c r="D3" s="294" t="s">
        <v>94</v>
      </c>
      <c r="E3" s="294">
        <v>2</v>
      </c>
      <c r="F3" s="250">
        <f ca="1">VLOOKUP($D3,Data!$C:$I,7,FALSE)</f>
        <v>0</v>
      </c>
      <c r="G3" s="296" t="str">
        <f t="shared" si="0"/>
        <v>ID.AM-12</v>
      </c>
      <c r="H3" s="296" t="str">
        <f t="shared" ca="1" si="1"/>
        <v>ID.AM-120</v>
      </c>
      <c r="J3" s="247"/>
      <c r="K3" s="271"/>
      <c r="L3" s="268" t="s">
        <v>1010</v>
      </c>
      <c r="M3" s="269">
        <f t="shared" ca="1" si="2"/>
        <v>0</v>
      </c>
      <c r="N3" s="270">
        <f t="shared" ca="1" si="3"/>
        <v>0</v>
      </c>
      <c r="O3" s="270">
        <f t="shared" si="4"/>
        <v>4</v>
      </c>
      <c r="P3" s="269">
        <f t="shared" ca="1" si="5"/>
        <v>0</v>
      </c>
      <c r="Q3" s="270">
        <f t="shared" ca="1" si="6"/>
        <v>0</v>
      </c>
      <c r="R3" s="270">
        <f t="shared" si="7"/>
        <v>1</v>
      </c>
      <c r="S3" s="269">
        <f t="shared" ca="1" si="8"/>
        <v>0</v>
      </c>
      <c r="T3" s="270">
        <f t="shared" ca="1" si="9"/>
        <v>0</v>
      </c>
      <c r="U3" s="270">
        <f t="shared" si="10"/>
        <v>1</v>
      </c>
      <c r="V3" s="269">
        <f t="shared" ca="1" si="11"/>
        <v>0</v>
      </c>
      <c r="W3" s="270">
        <f t="shared" ca="1" si="12"/>
        <v>0</v>
      </c>
      <c r="X3" s="270">
        <f t="shared" si="13"/>
        <v>2</v>
      </c>
      <c r="Y3" s="247"/>
      <c r="Z3" s="43" t="s">
        <v>1285</v>
      </c>
      <c r="AA3" s="43" t="s">
        <v>961</v>
      </c>
      <c r="AB3" s="128" t="str">
        <f>IF(VLOOKUP($AA3,Languages!$A:$D,1,TRUE)=$AA3,VLOOKUP($AA3,Languages!$A:$D,Kybermittari!$C$7,TRUE),NA())</f>
        <v>Tunnistaminen</v>
      </c>
      <c r="AC3" s="145">
        <f ca="1">SUM(NISTMap!$N$2:$N$30)/SUM(NISTMap!$O$2:$O$30)</f>
        <v>0</v>
      </c>
      <c r="AD3" s="104">
        <f>VLOOKUP($Z3,Table3[#All],2,FALSE)</f>
        <v>0</v>
      </c>
      <c r="AE3" s="104">
        <f>VLOOKUP($Z3,Table5[#All],2,FALSE)</f>
        <v>0</v>
      </c>
      <c r="AF3" s="127"/>
      <c r="AG3" s="144"/>
    </row>
    <row r="4" spans="1:33" ht="14" x14ac:dyDescent="0.3">
      <c r="A4" s="293">
        <v>3</v>
      </c>
      <c r="B4" s="293" t="s">
        <v>1005</v>
      </c>
      <c r="C4" s="294" t="s">
        <v>1008</v>
      </c>
      <c r="D4" s="294" t="s">
        <v>97</v>
      </c>
      <c r="E4" s="294">
        <v>3</v>
      </c>
      <c r="F4" s="250">
        <f ca="1">VLOOKUP($D4,Data!$C:$I,7,FALSE)</f>
        <v>0</v>
      </c>
      <c r="G4" s="296" t="str">
        <f t="shared" si="0"/>
        <v>ID.AM-13</v>
      </c>
      <c r="H4" s="296" t="str">
        <f t="shared" ca="1" si="1"/>
        <v>ID.AM-130</v>
      </c>
      <c r="J4" s="247"/>
      <c r="K4" s="271"/>
      <c r="L4" s="268" t="s">
        <v>1011</v>
      </c>
      <c r="M4" s="269">
        <f t="shared" ca="1" si="2"/>
        <v>0</v>
      </c>
      <c r="N4" s="270">
        <f t="shared" ca="1" si="3"/>
        <v>0</v>
      </c>
      <c r="O4" s="270">
        <f t="shared" si="4"/>
        <v>4</v>
      </c>
      <c r="P4" s="269">
        <f t="shared" si="5"/>
        <v>0</v>
      </c>
      <c r="Q4" s="270">
        <f t="shared" ca="1" si="6"/>
        <v>0</v>
      </c>
      <c r="R4" s="270">
        <f t="shared" si="7"/>
        <v>0</v>
      </c>
      <c r="S4" s="269">
        <f t="shared" ca="1" si="8"/>
        <v>0</v>
      </c>
      <c r="T4" s="270">
        <f t="shared" ca="1" si="9"/>
        <v>0</v>
      </c>
      <c r="U4" s="270">
        <f t="shared" si="10"/>
        <v>1</v>
      </c>
      <c r="V4" s="269">
        <f t="shared" ca="1" si="11"/>
        <v>0</v>
      </c>
      <c r="W4" s="270">
        <f t="shared" ca="1" si="12"/>
        <v>0</v>
      </c>
      <c r="X4" s="270">
        <f t="shared" si="13"/>
        <v>3</v>
      </c>
      <c r="Y4" s="247"/>
      <c r="Z4" s="43" t="s">
        <v>1286</v>
      </c>
      <c r="AA4" s="43" t="s">
        <v>962</v>
      </c>
      <c r="AB4" s="128" t="str">
        <f>IF(VLOOKUP($AA4,Languages!$A:$D,1,TRUE)=$AA4,VLOOKUP($AA4,Languages!$A:$D,Kybermittari!$C$7,TRUE),NA())</f>
        <v>Suojautuminen</v>
      </c>
      <c r="AC4" s="145">
        <f ca="1">SUM(NISTMap!$N$31:$N$69)/SUM(NISTMap!$O$31:$O$69)</f>
        <v>0</v>
      </c>
      <c r="AD4" s="104">
        <f>VLOOKUP($Z4,Table3[#All],2,FALSE)</f>
        <v>0</v>
      </c>
      <c r="AE4" s="104">
        <f>VLOOKUP($Z4,Table5[#All],2,FALSE)</f>
        <v>0</v>
      </c>
      <c r="AF4" s="127"/>
      <c r="AG4" s="144"/>
    </row>
    <row r="5" spans="1:33" ht="14" x14ac:dyDescent="0.3">
      <c r="A5" s="293">
        <v>4</v>
      </c>
      <c r="B5" s="293" t="s">
        <v>1005</v>
      </c>
      <c r="C5" s="294" t="s">
        <v>1009</v>
      </c>
      <c r="D5" s="294" t="s">
        <v>99</v>
      </c>
      <c r="E5" s="294">
        <v>3</v>
      </c>
      <c r="F5" s="250">
        <f ca="1">VLOOKUP($D5,Data!$C:$I,7,FALSE)</f>
        <v>0</v>
      </c>
      <c r="G5" s="296" t="str">
        <f t="shared" si="0"/>
        <v>ID.AM-13</v>
      </c>
      <c r="H5" s="296" t="str">
        <f t="shared" ca="1" si="1"/>
        <v>ID.AM-130</v>
      </c>
      <c r="J5" s="247"/>
      <c r="K5" s="271"/>
      <c r="L5" s="268" t="s">
        <v>1012</v>
      </c>
      <c r="M5" s="269">
        <f t="shared" ca="1" si="2"/>
        <v>0</v>
      </c>
      <c r="N5" s="270">
        <f t="shared" ca="1" si="3"/>
        <v>0</v>
      </c>
      <c r="O5" s="270">
        <f t="shared" si="4"/>
        <v>5</v>
      </c>
      <c r="P5" s="269">
        <f t="shared" ca="1" si="5"/>
        <v>0</v>
      </c>
      <c r="Q5" s="270">
        <f t="shared" ca="1" si="6"/>
        <v>0</v>
      </c>
      <c r="R5" s="270">
        <f t="shared" si="7"/>
        <v>1</v>
      </c>
      <c r="S5" s="269">
        <f t="shared" ca="1" si="8"/>
        <v>0</v>
      </c>
      <c r="T5" s="270">
        <f t="shared" ca="1" si="9"/>
        <v>0</v>
      </c>
      <c r="U5" s="270">
        <f t="shared" si="10"/>
        <v>3</v>
      </c>
      <c r="V5" s="269">
        <f t="shared" ca="1" si="11"/>
        <v>0</v>
      </c>
      <c r="W5" s="270">
        <f t="shared" ca="1" si="12"/>
        <v>0</v>
      </c>
      <c r="X5" s="270">
        <f t="shared" si="13"/>
        <v>1</v>
      </c>
      <c r="Y5" s="247"/>
      <c r="Z5" s="43" t="s">
        <v>1287</v>
      </c>
      <c r="AA5" s="43" t="s">
        <v>963</v>
      </c>
      <c r="AB5" s="128" t="str">
        <f>IF(VLOOKUP($AA5,Languages!$A:$D,1,TRUE)=$AA5,VLOOKUP($AA5,Languages!$A:$D,Kybermittari!$C$7,TRUE),NA())</f>
        <v>Havainnointi</v>
      </c>
      <c r="AC5" s="145">
        <f ca="1">SUM(NISTMap!$N$70:$N$87)/SUM(NISTMap!$O$70:$O$87)</f>
        <v>0</v>
      </c>
      <c r="AD5" s="104">
        <f>VLOOKUP($Z5,Table3[#All],2,FALSE)</f>
        <v>0</v>
      </c>
      <c r="AE5" s="104">
        <f>VLOOKUP($Z5,Table5[#All],2,FALSE)</f>
        <v>0</v>
      </c>
      <c r="AF5" s="127"/>
      <c r="AG5" s="144"/>
    </row>
    <row r="6" spans="1:33" ht="14" x14ac:dyDescent="0.3">
      <c r="A6" s="293">
        <v>5</v>
      </c>
      <c r="B6" s="293" t="s">
        <v>1010</v>
      </c>
      <c r="C6" s="294" t="s">
        <v>1006</v>
      </c>
      <c r="D6" s="294" t="s">
        <v>92</v>
      </c>
      <c r="E6" s="294">
        <v>1</v>
      </c>
      <c r="F6" s="250">
        <f ca="1">VLOOKUP($D6,Data!$C:$I,7,FALSE)</f>
        <v>0</v>
      </c>
      <c r="G6" s="296" t="str">
        <f t="shared" si="0"/>
        <v>ID.AM-21</v>
      </c>
      <c r="H6" s="296" t="str">
        <f t="shared" ca="1" si="1"/>
        <v>ID.AM-210</v>
      </c>
      <c r="J6" s="247"/>
      <c r="K6" s="271"/>
      <c r="L6" s="268" t="s">
        <v>983</v>
      </c>
      <c r="M6" s="269">
        <f t="shared" ca="1" si="2"/>
        <v>0</v>
      </c>
      <c r="N6" s="270">
        <f t="shared" ca="1" si="3"/>
        <v>0</v>
      </c>
      <c r="O6" s="270">
        <f t="shared" si="4"/>
        <v>7</v>
      </c>
      <c r="P6" s="269">
        <f t="shared" ca="1" si="5"/>
        <v>0</v>
      </c>
      <c r="Q6" s="270">
        <f t="shared" ca="1" si="6"/>
        <v>0</v>
      </c>
      <c r="R6" s="270">
        <f t="shared" si="7"/>
        <v>2</v>
      </c>
      <c r="S6" s="269">
        <f t="shared" ca="1" si="8"/>
        <v>0</v>
      </c>
      <c r="T6" s="270">
        <f t="shared" ca="1" si="9"/>
        <v>0</v>
      </c>
      <c r="U6" s="270">
        <f t="shared" si="10"/>
        <v>4</v>
      </c>
      <c r="V6" s="269">
        <f t="shared" ca="1" si="11"/>
        <v>0</v>
      </c>
      <c r="W6" s="270">
        <f t="shared" ca="1" si="12"/>
        <v>0</v>
      </c>
      <c r="X6" s="270">
        <f t="shared" si="13"/>
        <v>1</v>
      </c>
      <c r="Y6" s="247"/>
      <c r="Z6" s="43" t="s">
        <v>1288</v>
      </c>
      <c r="AA6" s="43" t="s">
        <v>964</v>
      </c>
      <c r="AB6" s="128" t="str">
        <f>IF(VLOOKUP($AA6,Languages!$A:$D,1,TRUE)=$AA6,VLOOKUP($AA6,Languages!$A:$D,Kybermittari!$C$7,TRUE),NA())</f>
        <v>Reagointi</v>
      </c>
      <c r="AC6" s="145">
        <f ca="1">SUM(NISTMap!$N$88:$N$103)/SUM(NISTMap!$O$88:$O$103)</f>
        <v>0</v>
      </c>
      <c r="AD6" s="104">
        <f>VLOOKUP($Z6,Table3[#All],2,FALSE)</f>
        <v>0</v>
      </c>
      <c r="AE6" s="104">
        <f>VLOOKUP($Z6,Table5[#All],2,FALSE)</f>
        <v>0</v>
      </c>
      <c r="AF6" s="126"/>
      <c r="AG6" s="144"/>
    </row>
    <row r="7" spans="1:33" ht="14" x14ac:dyDescent="0.3">
      <c r="A7" s="293">
        <v>6</v>
      </c>
      <c r="B7" s="293" t="s">
        <v>1010</v>
      </c>
      <c r="C7" s="294" t="s">
        <v>1007</v>
      </c>
      <c r="D7" s="294" t="s">
        <v>94</v>
      </c>
      <c r="E7" s="294">
        <v>2</v>
      </c>
      <c r="F7" s="250">
        <f ca="1">VLOOKUP($D7,Data!$C:$I,7,FALSE)</f>
        <v>0</v>
      </c>
      <c r="G7" s="296" t="str">
        <f t="shared" si="0"/>
        <v>ID.AM-22</v>
      </c>
      <c r="H7" s="296" t="str">
        <f t="shared" ca="1" si="1"/>
        <v>ID.AM-220</v>
      </c>
      <c r="J7" s="247"/>
      <c r="K7" s="267"/>
      <c r="L7" s="268" t="s">
        <v>1019</v>
      </c>
      <c r="M7" s="269">
        <f t="shared" ca="1" si="2"/>
        <v>0</v>
      </c>
      <c r="N7" s="270">
        <f t="shared" ca="1" si="3"/>
        <v>0</v>
      </c>
      <c r="O7" s="270">
        <f t="shared" si="4"/>
        <v>4</v>
      </c>
      <c r="P7" s="269">
        <f t="shared" ca="1" si="5"/>
        <v>0</v>
      </c>
      <c r="Q7" s="270">
        <f t="shared" ca="1" si="6"/>
        <v>0</v>
      </c>
      <c r="R7" s="270">
        <f t="shared" si="7"/>
        <v>2</v>
      </c>
      <c r="S7" s="269">
        <f t="shared" ca="1" si="8"/>
        <v>0</v>
      </c>
      <c r="T7" s="270">
        <f t="shared" ca="1" si="9"/>
        <v>0</v>
      </c>
      <c r="U7" s="270">
        <f t="shared" si="10"/>
        <v>2</v>
      </c>
      <c r="V7" s="269">
        <f t="shared" si="11"/>
        <v>0</v>
      </c>
      <c r="W7" s="270">
        <f t="shared" ca="1" si="12"/>
        <v>0</v>
      </c>
      <c r="X7" s="270">
        <f t="shared" si="13"/>
        <v>0</v>
      </c>
      <c r="Y7" s="247"/>
      <c r="Z7" s="43" t="s">
        <v>1289</v>
      </c>
      <c r="AA7" s="43" t="s">
        <v>965</v>
      </c>
      <c r="AB7" s="128" t="str">
        <f>IF(VLOOKUP($AA7,Languages!$A:$D,1,TRUE)=$AA7,VLOOKUP($AA7,Languages!$A:$D,Kybermittari!$C$7,TRUE),NA())</f>
        <v>Palautuminen</v>
      </c>
      <c r="AC7" s="145">
        <f ca="1">SUM(NISTMap!$N$104:$N$109)/SUM(NISTMap!$O$104:$O$109)</f>
        <v>0</v>
      </c>
      <c r="AD7" s="104">
        <f>VLOOKUP($Z7,Table3[#All],2,FALSE)</f>
        <v>0</v>
      </c>
      <c r="AE7" s="104">
        <f>VLOOKUP($Z7,Table5[#All],2,FALSE)</f>
        <v>0</v>
      </c>
      <c r="AF7" s="127"/>
      <c r="AG7" s="144"/>
    </row>
    <row r="8" spans="1:33" ht="14" x14ac:dyDescent="0.3">
      <c r="A8" s="293">
        <v>7</v>
      </c>
      <c r="B8" s="293" t="s">
        <v>1010</v>
      </c>
      <c r="C8" s="294" t="s">
        <v>1008</v>
      </c>
      <c r="D8" s="294" t="s">
        <v>97</v>
      </c>
      <c r="E8" s="294">
        <v>3</v>
      </c>
      <c r="F8" s="250">
        <f ca="1">VLOOKUP($D8,Data!$C:$I,7,FALSE)</f>
        <v>0</v>
      </c>
      <c r="G8" s="296" t="str">
        <f t="shared" si="0"/>
        <v>ID.AM-23</v>
      </c>
      <c r="H8" s="296" t="str">
        <f t="shared" ca="1" si="1"/>
        <v>ID.AM-230</v>
      </c>
      <c r="J8" s="247"/>
      <c r="K8" s="267" t="s">
        <v>1252</v>
      </c>
      <c r="L8" s="268" t="s">
        <v>1023</v>
      </c>
      <c r="M8" s="269">
        <f t="shared" ca="1" si="2"/>
        <v>0</v>
      </c>
      <c r="N8" s="270">
        <f t="shared" ca="1" si="3"/>
        <v>0</v>
      </c>
      <c r="O8" s="270">
        <f t="shared" si="4"/>
        <v>5</v>
      </c>
      <c r="P8" s="269">
        <f t="shared" ca="1" si="5"/>
        <v>0</v>
      </c>
      <c r="Q8" s="270">
        <f t="shared" ca="1" si="6"/>
        <v>0</v>
      </c>
      <c r="R8" s="270">
        <f t="shared" si="7"/>
        <v>1</v>
      </c>
      <c r="S8" s="269">
        <f t="shared" ca="1" si="8"/>
        <v>0</v>
      </c>
      <c r="T8" s="270">
        <f t="shared" ca="1" si="9"/>
        <v>0</v>
      </c>
      <c r="U8" s="270">
        <f t="shared" si="10"/>
        <v>3</v>
      </c>
      <c r="V8" s="269">
        <f t="shared" ca="1" si="11"/>
        <v>0</v>
      </c>
      <c r="W8" s="270">
        <f t="shared" ca="1" si="12"/>
        <v>0</v>
      </c>
      <c r="X8" s="270">
        <f t="shared" si="13"/>
        <v>1</v>
      </c>
      <c r="Y8" s="247"/>
      <c r="Z8" s="127"/>
      <c r="AA8" s="127"/>
      <c r="AB8" s="127"/>
      <c r="AC8" s="127"/>
      <c r="AD8" s="127"/>
      <c r="AE8" s="127"/>
      <c r="AF8" s="127"/>
      <c r="AG8" s="144"/>
    </row>
    <row r="9" spans="1:33" ht="14" x14ac:dyDescent="0.3">
      <c r="A9" s="293">
        <v>8</v>
      </c>
      <c r="B9" s="293" t="s">
        <v>1010</v>
      </c>
      <c r="C9" s="294" t="s">
        <v>1009</v>
      </c>
      <c r="D9" s="294" t="s">
        <v>99</v>
      </c>
      <c r="E9" s="294">
        <v>3</v>
      </c>
      <c r="F9" s="250">
        <f ca="1">VLOOKUP($D9,Data!$C:$I,7,FALSE)</f>
        <v>0</v>
      </c>
      <c r="G9" s="296" t="str">
        <f t="shared" si="0"/>
        <v>ID.AM-23</v>
      </c>
      <c r="H9" s="296" t="str">
        <f t="shared" ca="1" si="1"/>
        <v>ID.AM-230</v>
      </c>
      <c r="J9" s="247"/>
      <c r="K9" s="271"/>
      <c r="L9" s="268" t="s">
        <v>1027</v>
      </c>
      <c r="M9" s="269">
        <f t="shared" ca="1" si="2"/>
        <v>0</v>
      </c>
      <c r="N9" s="270">
        <f t="shared" ca="1" si="3"/>
        <v>0</v>
      </c>
      <c r="O9" s="270">
        <f t="shared" si="4"/>
        <v>6</v>
      </c>
      <c r="P9" s="269">
        <f t="shared" ca="1" si="5"/>
        <v>0</v>
      </c>
      <c r="Q9" s="270">
        <f t="shared" ca="1" si="6"/>
        <v>0</v>
      </c>
      <c r="R9" s="270">
        <f t="shared" si="7"/>
        <v>1</v>
      </c>
      <c r="S9" s="269">
        <f t="shared" ca="1" si="8"/>
        <v>0</v>
      </c>
      <c r="T9" s="270">
        <f t="shared" ca="1" si="9"/>
        <v>0</v>
      </c>
      <c r="U9" s="270">
        <f t="shared" si="10"/>
        <v>4</v>
      </c>
      <c r="V9" s="269">
        <f t="shared" ca="1" si="11"/>
        <v>0</v>
      </c>
      <c r="W9" s="270">
        <f t="shared" ca="1" si="12"/>
        <v>0</v>
      </c>
      <c r="X9" s="270">
        <f t="shared" si="13"/>
        <v>1</v>
      </c>
      <c r="Y9" s="247"/>
      <c r="Z9" s="127"/>
      <c r="AA9" s="127"/>
      <c r="AB9" s="127"/>
      <c r="AC9" s="127"/>
      <c r="AD9" s="127"/>
      <c r="AE9" s="127"/>
      <c r="AF9" s="127"/>
      <c r="AG9" s="144"/>
    </row>
    <row r="10" spans="1:33" ht="14" x14ac:dyDescent="0.3">
      <c r="A10" s="293">
        <v>10</v>
      </c>
      <c r="B10" s="293" t="s">
        <v>1011</v>
      </c>
      <c r="C10" s="294" t="s">
        <v>1008</v>
      </c>
      <c r="D10" s="294" t="s">
        <v>97</v>
      </c>
      <c r="E10" s="294">
        <v>3</v>
      </c>
      <c r="F10" s="250">
        <f ca="1">VLOOKUP($D10,Data!$C:$I,7,FALSE)</f>
        <v>0</v>
      </c>
      <c r="G10" s="296" t="str">
        <f t="shared" si="0"/>
        <v>ID.AM-33</v>
      </c>
      <c r="H10" s="296" t="str">
        <f t="shared" ca="1" si="1"/>
        <v>ID.AM-330</v>
      </c>
      <c r="J10" s="247"/>
      <c r="K10" s="271"/>
      <c r="L10" s="268" t="s">
        <v>1029</v>
      </c>
      <c r="M10" s="269">
        <f t="shared" ca="1" si="2"/>
        <v>0</v>
      </c>
      <c r="N10" s="270">
        <f t="shared" ca="1" si="3"/>
        <v>0</v>
      </c>
      <c r="O10" s="270">
        <f t="shared" si="4"/>
        <v>1</v>
      </c>
      <c r="P10" s="269">
        <f t="shared" si="5"/>
        <v>0</v>
      </c>
      <c r="Q10" s="270">
        <f t="shared" ca="1" si="6"/>
        <v>0</v>
      </c>
      <c r="R10" s="270">
        <f t="shared" si="7"/>
        <v>0</v>
      </c>
      <c r="S10" s="269">
        <f t="shared" ca="1" si="8"/>
        <v>0</v>
      </c>
      <c r="T10" s="270">
        <f t="shared" ca="1" si="9"/>
        <v>0</v>
      </c>
      <c r="U10" s="270">
        <f t="shared" si="10"/>
        <v>1</v>
      </c>
      <c r="V10" s="269">
        <f t="shared" si="11"/>
        <v>0</v>
      </c>
      <c r="W10" s="270">
        <f t="shared" ca="1" si="12"/>
        <v>0</v>
      </c>
      <c r="X10" s="270">
        <f t="shared" si="13"/>
        <v>0</v>
      </c>
      <c r="Y10" s="247"/>
      <c r="Z10" s="127"/>
      <c r="AA10" s="127"/>
      <c r="AB10" s="127"/>
      <c r="AC10" s="127"/>
      <c r="AD10" s="127"/>
      <c r="AE10" s="127"/>
      <c r="AF10" s="127"/>
      <c r="AG10" s="144"/>
    </row>
    <row r="11" spans="1:33" ht="14" x14ac:dyDescent="0.3">
      <c r="A11" s="293">
        <v>11</v>
      </c>
      <c r="B11" s="293" t="s">
        <v>1012</v>
      </c>
      <c r="C11" s="294" t="s">
        <v>1013</v>
      </c>
      <c r="D11" s="294" t="s">
        <v>290</v>
      </c>
      <c r="E11" s="294">
        <v>1</v>
      </c>
      <c r="F11" s="250">
        <f ca="1">VLOOKUP($D11,Data!$C:$I,7,FALSE)</f>
        <v>0</v>
      </c>
      <c r="G11" s="296" t="str">
        <f t="shared" si="0"/>
        <v>ID.AM-41</v>
      </c>
      <c r="H11" s="296" t="str">
        <f t="shared" ca="1" si="1"/>
        <v>ID.AM-410</v>
      </c>
      <c r="J11" s="247"/>
      <c r="K11" s="271"/>
      <c r="L11" s="268" t="s">
        <v>984</v>
      </c>
      <c r="M11" s="269">
        <f t="shared" ca="1" si="2"/>
        <v>0</v>
      </c>
      <c r="N11" s="270">
        <f t="shared" ca="1" si="3"/>
        <v>0</v>
      </c>
      <c r="O11" s="270">
        <f t="shared" si="4"/>
        <v>17</v>
      </c>
      <c r="P11" s="269">
        <f t="shared" ca="1" si="5"/>
        <v>0</v>
      </c>
      <c r="Q11" s="270">
        <f t="shared" ca="1" si="6"/>
        <v>0</v>
      </c>
      <c r="R11" s="270">
        <f t="shared" si="7"/>
        <v>3</v>
      </c>
      <c r="S11" s="269">
        <f t="shared" ca="1" si="8"/>
        <v>0</v>
      </c>
      <c r="T11" s="270">
        <f t="shared" ca="1" si="9"/>
        <v>0</v>
      </c>
      <c r="U11" s="270">
        <f t="shared" si="10"/>
        <v>7</v>
      </c>
      <c r="V11" s="269">
        <f t="shared" ca="1" si="11"/>
        <v>0</v>
      </c>
      <c r="W11" s="270">
        <f t="shared" ca="1" si="12"/>
        <v>0</v>
      </c>
      <c r="X11" s="270">
        <f t="shared" si="13"/>
        <v>7</v>
      </c>
      <c r="Y11" s="247"/>
      <c r="Z11" s="127"/>
      <c r="AA11" s="127"/>
      <c r="AB11" s="127"/>
      <c r="AC11" s="127"/>
      <c r="AD11" s="127"/>
      <c r="AE11" s="127"/>
      <c r="AF11" s="127"/>
      <c r="AG11" s="144"/>
    </row>
    <row r="12" spans="1:33" ht="14" x14ac:dyDescent="0.3">
      <c r="A12" s="293">
        <v>12</v>
      </c>
      <c r="B12" s="293" t="s">
        <v>1012</v>
      </c>
      <c r="C12" s="294" t="s">
        <v>1014</v>
      </c>
      <c r="D12" s="294" t="s">
        <v>292</v>
      </c>
      <c r="E12" s="294">
        <v>2</v>
      </c>
      <c r="F12" s="250">
        <f ca="1">VLOOKUP($D12,Data!$C:$I,7,FALSE)</f>
        <v>0</v>
      </c>
      <c r="G12" s="296" t="str">
        <f t="shared" si="0"/>
        <v>ID.AM-42</v>
      </c>
      <c r="H12" s="296" t="str">
        <f t="shared" ca="1" si="1"/>
        <v>ID.AM-420</v>
      </c>
      <c r="J12" s="247"/>
      <c r="K12" s="267"/>
      <c r="L12" s="268" t="s">
        <v>1030</v>
      </c>
      <c r="M12" s="269">
        <f t="shared" ca="1" si="2"/>
        <v>0</v>
      </c>
      <c r="N12" s="270">
        <f t="shared" ca="1" si="3"/>
        <v>0</v>
      </c>
      <c r="O12" s="270">
        <f t="shared" si="4"/>
        <v>5</v>
      </c>
      <c r="P12" s="269">
        <f t="shared" ca="1" si="5"/>
        <v>0</v>
      </c>
      <c r="Q12" s="270">
        <f t="shared" ca="1" si="6"/>
        <v>0</v>
      </c>
      <c r="R12" s="270">
        <f t="shared" si="7"/>
        <v>1</v>
      </c>
      <c r="S12" s="269">
        <f t="shared" ca="1" si="8"/>
        <v>0</v>
      </c>
      <c r="T12" s="270">
        <f t="shared" ca="1" si="9"/>
        <v>0</v>
      </c>
      <c r="U12" s="270">
        <f t="shared" si="10"/>
        <v>4</v>
      </c>
      <c r="V12" s="269">
        <f t="shared" si="11"/>
        <v>0</v>
      </c>
      <c r="W12" s="270">
        <f t="shared" ca="1" si="12"/>
        <v>0</v>
      </c>
      <c r="X12" s="270">
        <f t="shared" si="13"/>
        <v>0</v>
      </c>
      <c r="Y12" s="247"/>
      <c r="Z12" s="127"/>
      <c r="AA12" s="127"/>
      <c r="AB12" s="127"/>
      <c r="AC12" s="127"/>
      <c r="AD12" s="127"/>
      <c r="AE12" s="127"/>
      <c r="AF12" s="126"/>
      <c r="AG12" s="144"/>
    </row>
    <row r="13" spans="1:33" ht="14" x14ac:dyDescent="0.3">
      <c r="A13" s="293">
        <v>13</v>
      </c>
      <c r="B13" s="293" t="s">
        <v>1012</v>
      </c>
      <c r="C13" s="294" t="s">
        <v>1015</v>
      </c>
      <c r="D13" s="294" t="s">
        <v>294</v>
      </c>
      <c r="E13" s="294">
        <v>2</v>
      </c>
      <c r="F13" s="250">
        <f ca="1">VLOOKUP($D13,Data!$C:$I,7,FALSE)</f>
        <v>0</v>
      </c>
      <c r="G13" s="296" t="str">
        <f t="shared" si="0"/>
        <v>ID.AM-42</v>
      </c>
      <c r="H13" s="296" t="str">
        <f t="shared" ca="1" si="1"/>
        <v>ID.AM-420</v>
      </c>
      <c r="J13" s="247"/>
      <c r="K13" s="267" t="s">
        <v>1253</v>
      </c>
      <c r="L13" s="268" t="s">
        <v>1035</v>
      </c>
      <c r="M13" s="269">
        <f t="shared" ca="1" si="2"/>
        <v>0</v>
      </c>
      <c r="N13" s="270">
        <f t="shared" ca="1" si="3"/>
        <v>0</v>
      </c>
      <c r="O13" s="270">
        <f t="shared" si="4"/>
        <v>3</v>
      </c>
      <c r="P13" s="269">
        <f t="shared" si="5"/>
        <v>0</v>
      </c>
      <c r="Q13" s="270">
        <f t="shared" ca="1" si="6"/>
        <v>0</v>
      </c>
      <c r="R13" s="270">
        <f t="shared" si="7"/>
        <v>0</v>
      </c>
      <c r="S13" s="269">
        <f t="shared" ca="1" si="8"/>
        <v>0</v>
      </c>
      <c r="T13" s="270">
        <f t="shared" ca="1" si="9"/>
        <v>0</v>
      </c>
      <c r="U13" s="270">
        <f t="shared" si="10"/>
        <v>1</v>
      </c>
      <c r="V13" s="269">
        <f t="shared" ca="1" si="11"/>
        <v>0</v>
      </c>
      <c r="W13" s="270">
        <f t="shared" ca="1" si="12"/>
        <v>0</v>
      </c>
      <c r="X13" s="270">
        <f t="shared" si="13"/>
        <v>2</v>
      </c>
      <c r="Y13" s="247"/>
      <c r="Z13" s="127"/>
      <c r="AA13" s="127"/>
      <c r="AB13" s="127"/>
      <c r="AC13" s="127"/>
      <c r="AD13" s="127"/>
      <c r="AE13" s="127"/>
      <c r="AF13" s="127"/>
      <c r="AG13" s="144"/>
    </row>
    <row r="14" spans="1:33" ht="14.5" thickBot="1" x14ac:dyDescent="0.35">
      <c r="A14" s="293">
        <v>14</v>
      </c>
      <c r="B14" s="293" t="s">
        <v>1012</v>
      </c>
      <c r="C14" s="294" t="s">
        <v>1016</v>
      </c>
      <c r="D14" s="294" t="s">
        <v>296</v>
      </c>
      <c r="E14" s="294">
        <v>3</v>
      </c>
      <c r="F14" s="250">
        <f ca="1">VLOOKUP($D14,Data!$C:$I,7,FALSE)</f>
        <v>0</v>
      </c>
      <c r="G14" s="296" t="str">
        <f t="shared" si="0"/>
        <v>ID.AM-43</v>
      </c>
      <c r="H14" s="296" t="str">
        <f t="shared" ca="1" si="1"/>
        <v>ID.AM-430</v>
      </c>
      <c r="J14" s="247"/>
      <c r="K14" s="271"/>
      <c r="L14" s="268" t="s">
        <v>985</v>
      </c>
      <c r="M14" s="269">
        <f t="shared" ca="1" si="2"/>
        <v>0</v>
      </c>
      <c r="N14" s="270">
        <f t="shared" ca="1" si="3"/>
        <v>0</v>
      </c>
      <c r="O14" s="270">
        <f t="shared" si="4"/>
        <v>6</v>
      </c>
      <c r="P14" s="269">
        <f t="shared" ca="1" si="5"/>
        <v>0</v>
      </c>
      <c r="Q14" s="270">
        <f t="shared" ca="1" si="6"/>
        <v>0</v>
      </c>
      <c r="R14" s="270">
        <f t="shared" si="7"/>
        <v>2</v>
      </c>
      <c r="S14" s="269">
        <f t="shared" ca="1" si="8"/>
        <v>0</v>
      </c>
      <c r="T14" s="270">
        <f t="shared" ca="1" si="9"/>
        <v>0</v>
      </c>
      <c r="U14" s="270">
        <f t="shared" si="10"/>
        <v>2</v>
      </c>
      <c r="V14" s="269">
        <f t="shared" ca="1" si="11"/>
        <v>0</v>
      </c>
      <c r="W14" s="270">
        <f t="shared" ca="1" si="12"/>
        <v>0</v>
      </c>
      <c r="X14" s="270">
        <f t="shared" si="13"/>
        <v>2</v>
      </c>
      <c r="Y14" s="247"/>
      <c r="Z14" s="127"/>
      <c r="AA14" s="127"/>
      <c r="AB14" s="127"/>
      <c r="AC14" s="127"/>
      <c r="AD14" s="127"/>
      <c r="AE14" s="127"/>
      <c r="AF14" s="127"/>
      <c r="AG14" s="127"/>
    </row>
    <row r="15" spans="1:33" ht="14.5" thickBot="1" x14ac:dyDescent="0.35">
      <c r="A15" s="293">
        <v>15</v>
      </c>
      <c r="B15" s="293" t="s">
        <v>1012</v>
      </c>
      <c r="C15" s="294" t="s">
        <v>1017</v>
      </c>
      <c r="D15" s="294" t="s">
        <v>65</v>
      </c>
      <c r="E15" s="294">
        <v>2</v>
      </c>
      <c r="F15" s="250">
        <f ca="1">VLOOKUP($D15,Data!$C:$I,7,FALSE)</f>
        <v>0</v>
      </c>
      <c r="G15" s="296" t="str">
        <f t="shared" si="0"/>
        <v>ID.AM-42</v>
      </c>
      <c r="H15" s="296" t="str">
        <f t="shared" ca="1" si="1"/>
        <v>ID.AM-420</v>
      </c>
      <c r="J15" s="247"/>
      <c r="K15" s="271"/>
      <c r="L15" s="268" t="s">
        <v>986</v>
      </c>
      <c r="M15" s="269">
        <f t="shared" ca="1" si="2"/>
        <v>0</v>
      </c>
      <c r="N15" s="270">
        <f t="shared" ca="1" si="3"/>
        <v>0</v>
      </c>
      <c r="O15" s="270">
        <f t="shared" si="4"/>
        <v>2</v>
      </c>
      <c r="P15" s="269">
        <f t="shared" si="5"/>
        <v>0</v>
      </c>
      <c r="Q15" s="270">
        <f t="shared" ca="1" si="6"/>
        <v>0</v>
      </c>
      <c r="R15" s="270">
        <f t="shared" si="7"/>
        <v>0</v>
      </c>
      <c r="S15" s="269">
        <f t="shared" ca="1" si="8"/>
        <v>0</v>
      </c>
      <c r="T15" s="270">
        <f t="shared" ca="1" si="9"/>
        <v>0</v>
      </c>
      <c r="U15" s="270">
        <f t="shared" si="10"/>
        <v>1</v>
      </c>
      <c r="V15" s="269">
        <f t="shared" ca="1" si="11"/>
        <v>0</v>
      </c>
      <c r="W15" s="270">
        <f t="shared" ca="1" si="12"/>
        <v>0</v>
      </c>
      <c r="X15" s="270">
        <f t="shared" si="13"/>
        <v>1</v>
      </c>
      <c r="Y15" s="247"/>
      <c r="Z15" s="127"/>
      <c r="AA15" s="51" t="s">
        <v>2461</v>
      </c>
      <c r="AB15" s="34" t="s">
        <v>2462</v>
      </c>
      <c r="AC15" s="34" t="s">
        <v>2463</v>
      </c>
      <c r="AD15" s="34" t="s">
        <v>2464</v>
      </c>
      <c r="AE15" s="34" t="s">
        <v>2465</v>
      </c>
      <c r="AG15" s="127"/>
    </row>
    <row r="16" spans="1:33" ht="14" x14ac:dyDescent="0.3">
      <c r="A16" s="293">
        <v>16</v>
      </c>
      <c r="B16" s="293" t="s">
        <v>983</v>
      </c>
      <c r="C16" s="294" t="s">
        <v>1006</v>
      </c>
      <c r="D16" s="294" t="s">
        <v>92</v>
      </c>
      <c r="E16" s="294">
        <v>1</v>
      </c>
      <c r="F16" s="250">
        <f ca="1">VLOOKUP($D16,Data!$C:$I,7,FALSE)</f>
        <v>0</v>
      </c>
      <c r="G16" s="296" t="str">
        <f t="shared" si="0"/>
        <v>ID.AM-51</v>
      </c>
      <c r="H16" s="296" t="str">
        <f t="shared" ca="1" si="1"/>
        <v>ID.AM-510</v>
      </c>
      <c r="J16" s="247"/>
      <c r="K16" s="267"/>
      <c r="L16" s="268" t="s">
        <v>1043</v>
      </c>
      <c r="M16" s="269">
        <f t="shared" ca="1" si="2"/>
        <v>0</v>
      </c>
      <c r="N16" s="270">
        <f t="shared" ca="1" si="3"/>
        <v>0</v>
      </c>
      <c r="O16" s="270">
        <f t="shared" si="4"/>
        <v>6</v>
      </c>
      <c r="P16" s="269">
        <f t="shared" ca="1" si="5"/>
        <v>0</v>
      </c>
      <c r="Q16" s="270">
        <f t="shared" ca="1" si="6"/>
        <v>0</v>
      </c>
      <c r="R16" s="270">
        <f t="shared" si="7"/>
        <v>2</v>
      </c>
      <c r="S16" s="269">
        <f t="shared" ca="1" si="8"/>
        <v>0</v>
      </c>
      <c r="T16" s="270">
        <f t="shared" ca="1" si="9"/>
        <v>0</v>
      </c>
      <c r="U16" s="270">
        <f t="shared" si="10"/>
        <v>1</v>
      </c>
      <c r="V16" s="269">
        <f t="shared" ca="1" si="11"/>
        <v>0</v>
      </c>
      <c r="W16" s="270">
        <f t="shared" ca="1" si="12"/>
        <v>0</v>
      </c>
      <c r="X16" s="270">
        <f t="shared" si="13"/>
        <v>3</v>
      </c>
      <c r="Y16" s="247"/>
      <c r="Z16" s="127"/>
      <c r="AA16" s="127"/>
      <c r="AB16" s="127">
        <f>Parameters!$B$4</f>
        <v>0.3</v>
      </c>
      <c r="AC16" s="127">
        <f>Parameters!$B$5-Parameters!$B$4</f>
        <v>0.3</v>
      </c>
      <c r="AD16" s="127">
        <f>Parameters!$B$6-Parameters!$B$5</f>
        <v>0.30000000000000004</v>
      </c>
      <c r="AE16" s="127">
        <f>1-Parameters!$B$6</f>
        <v>9.9999999999999978E-2</v>
      </c>
      <c r="AG16" s="127"/>
    </row>
    <row r="17" spans="1:33" ht="14" x14ac:dyDescent="0.3">
      <c r="A17" s="293">
        <v>17</v>
      </c>
      <c r="B17" s="293" t="s">
        <v>983</v>
      </c>
      <c r="C17" s="294" t="s">
        <v>2500</v>
      </c>
      <c r="D17" s="294" t="s">
        <v>103</v>
      </c>
      <c r="E17" s="294">
        <v>1</v>
      </c>
      <c r="F17" s="250">
        <f ca="1">VLOOKUP($D17,Data!$C:$I,7,FALSE)</f>
        <v>0</v>
      </c>
      <c r="G17" s="296" t="str">
        <f t="shared" si="0"/>
        <v>ID.AM-51</v>
      </c>
      <c r="H17" s="296" t="str">
        <f t="shared" ca="1" si="1"/>
        <v>ID.AM-510</v>
      </c>
      <c r="J17" s="247"/>
      <c r="K17" s="267" t="s">
        <v>1254</v>
      </c>
      <c r="L17" s="268" t="s">
        <v>1048</v>
      </c>
      <c r="M17" s="269">
        <f t="shared" ca="1" si="2"/>
        <v>0</v>
      </c>
      <c r="N17" s="270">
        <f t="shared" ca="1" si="3"/>
        <v>0</v>
      </c>
      <c r="O17" s="270">
        <f t="shared" si="4"/>
        <v>12</v>
      </c>
      <c r="P17" s="269">
        <f t="shared" ca="1" si="5"/>
        <v>0</v>
      </c>
      <c r="Q17" s="270">
        <f t="shared" ca="1" si="6"/>
        <v>0</v>
      </c>
      <c r="R17" s="270">
        <f t="shared" si="7"/>
        <v>4</v>
      </c>
      <c r="S17" s="269">
        <f t="shared" ca="1" si="8"/>
        <v>0</v>
      </c>
      <c r="T17" s="270">
        <f t="shared" ca="1" si="9"/>
        <v>0</v>
      </c>
      <c r="U17" s="270">
        <f t="shared" si="10"/>
        <v>5</v>
      </c>
      <c r="V17" s="269">
        <f t="shared" ca="1" si="11"/>
        <v>0</v>
      </c>
      <c r="W17" s="270">
        <f t="shared" ca="1" si="12"/>
        <v>0</v>
      </c>
      <c r="X17" s="270">
        <f t="shared" si="13"/>
        <v>3</v>
      </c>
      <c r="Y17" s="247"/>
      <c r="Z17" s="127"/>
      <c r="AA17" s="127"/>
      <c r="AB17" s="127">
        <f>Parameters!$B$4</f>
        <v>0.3</v>
      </c>
      <c r="AC17" s="127">
        <f>Parameters!$B$5-Parameters!$B$4</f>
        <v>0.3</v>
      </c>
      <c r="AD17" s="127">
        <f>Parameters!$B$6-Parameters!$B$5</f>
        <v>0.30000000000000004</v>
      </c>
      <c r="AE17" s="127">
        <f>1-Parameters!$B$6</f>
        <v>9.9999999999999978E-2</v>
      </c>
      <c r="AG17" s="127"/>
    </row>
    <row r="18" spans="1:33" ht="14" x14ac:dyDescent="0.3">
      <c r="A18" s="293">
        <v>18</v>
      </c>
      <c r="B18" s="293" t="s">
        <v>983</v>
      </c>
      <c r="C18" s="294" t="s">
        <v>1007</v>
      </c>
      <c r="D18" s="294" t="s">
        <v>94</v>
      </c>
      <c r="E18" s="294">
        <v>2</v>
      </c>
      <c r="F18" s="250">
        <f ca="1">VLOOKUP($D18,Data!$C:$I,7,FALSE)</f>
        <v>0</v>
      </c>
      <c r="G18" s="296" t="str">
        <f t="shared" si="0"/>
        <v>ID.AM-52</v>
      </c>
      <c r="H18" s="296" t="str">
        <f t="shared" ca="1" si="1"/>
        <v>ID.AM-520</v>
      </c>
      <c r="J18" s="247"/>
      <c r="K18" s="271"/>
      <c r="L18" s="268" t="s">
        <v>1057</v>
      </c>
      <c r="M18" s="269">
        <f t="shared" ca="1" si="2"/>
        <v>0</v>
      </c>
      <c r="N18" s="270">
        <f t="shared" ca="1" si="3"/>
        <v>0</v>
      </c>
      <c r="O18" s="270">
        <f t="shared" si="4"/>
        <v>7</v>
      </c>
      <c r="P18" s="269">
        <f t="shared" ca="1" si="5"/>
        <v>0</v>
      </c>
      <c r="Q18" s="270">
        <f t="shared" ca="1" si="6"/>
        <v>0</v>
      </c>
      <c r="R18" s="270">
        <f t="shared" si="7"/>
        <v>5</v>
      </c>
      <c r="S18" s="269">
        <f t="shared" ca="1" si="8"/>
        <v>0</v>
      </c>
      <c r="T18" s="270">
        <f t="shared" ca="1" si="9"/>
        <v>0</v>
      </c>
      <c r="U18" s="270">
        <f t="shared" si="10"/>
        <v>1</v>
      </c>
      <c r="V18" s="269">
        <f t="shared" ca="1" si="11"/>
        <v>0</v>
      </c>
      <c r="W18" s="270">
        <f t="shared" ca="1" si="12"/>
        <v>0</v>
      </c>
      <c r="X18" s="270">
        <f t="shared" si="13"/>
        <v>1</v>
      </c>
      <c r="Y18" s="247"/>
      <c r="Z18" s="126"/>
      <c r="AA18" s="126"/>
      <c r="AB18" s="127">
        <f>Parameters!$B$4</f>
        <v>0.3</v>
      </c>
      <c r="AC18" s="127">
        <f>Parameters!$B$5-Parameters!$B$4</f>
        <v>0.3</v>
      </c>
      <c r="AD18" s="127">
        <f>Parameters!$B$6-Parameters!$B$5</f>
        <v>0.30000000000000004</v>
      </c>
      <c r="AE18" s="127">
        <f>1-Parameters!$B$6</f>
        <v>9.9999999999999978E-2</v>
      </c>
      <c r="AG18" s="126"/>
    </row>
    <row r="19" spans="1:33" ht="14" x14ac:dyDescent="0.3">
      <c r="A19" s="293">
        <v>19</v>
      </c>
      <c r="B19" s="293" t="s">
        <v>983</v>
      </c>
      <c r="C19" s="294" t="s">
        <v>1018</v>
      </c>
      <c r="D19" s="294" t="s">
        <v>95</v>
      </c>
      <c r="E19" s="294">
        <v>2</v>
      </c>
      <c r="F19" s="250">
        <f ca="1">VLOOKUP($D19,Data!$C:$I,7,FALSE)</f>
        <v>0</v>
      </c>
      <c r="G19" s="296" t="str">
        <f t="shared" si="0"/>
        <v>ID.AM-52</v>
      </c>
      <c r="H19" s="296" t="str">
        <f t="shared" ca="1" si="1"/>
        <v>ID.AM-520</v>
      </c>
      <c r="J19" s="247"/>
      <c r="K19" s="271"/>
      <c r="L19" s="268" t="s">
        <v>1060</v>
      </c>
      <c r="M19" s="269">
        <f t="shared" ca="1" si="2"/>
        <v>0</v>
      </c>
      <c r="N19" s="270">
        <f t="shared" ca="1" si="3"/>
        <v>0</v>
      </c>
      <c r="O19" s="270">
        <f t="shared" si="4"/>
        <v>7</v>
      </c>
      <c r="P19" s="269">
        <f t="shared" ca="1" si="5"/>
        <v>0</v>
      </c>
      <c r="Q19" s="270">
        <f t="shared" ca="1" si="6"/>
        <v>0</v>
      </c>
      <c r="R19" s="270">
        <f t="shared" si="7"/>
        <v>2</v>
      </c>
      <c r="S19" s="269">
        <f t="shared" ca="1" si="8"/>
        <v>0</v>
      </c>
      <c r="T19" s="270">
        <f t="shared" ca="1" si="9"/>
        <v>0</v>
      </c>
      <c r="U19" s="270">
        <f t="shared" si="10"/>
        <v>4</v>
      </c>
      <c r="V19" s="269">
        <f t="shared" ca="1" si="11"/>
        <v>0</v>
      </c>
      <c r="W19" s="270">
        <f t="shared" ca="1" si="12"/>
        <v>0</v>
      </c>
      <c r="X19" s="270">
        <f t="shared" si="13"/>
        <v>1</v>
      </c>
      <c r="Y19" s="247"/>
      <c r="Z19" s="127"/>
      <c r="AA19" s="127"/>
      <c r="AB19" s="127">
        <f>Parameters!$B$4</f>
        <v>0.3</v>
      </c>
      <c r="AC19" s="127">
        <f>Parameters!$B$5-Parameters!$B$4</f>
        <v>0.3</v>
      </c>
      <c r="AD19" s="127">
        <f>Parameters!$B$6-Parameters!$B$5</f>
        <v>0.30000000000000004</v>
      </c>
      <c r="AE19" s="127">
        <f>1-Parameters!$B$6</f>
        <v>9.9999999999999978E-2</v>
      </c>
      <c r="AG19" s="127"/>
    </row>
    <row r="20" spans="1:33" ht="14" x14ac:dyDescent="0.3">
      <c r="A20" s="293">
        <v>20</v>
      </c>
      <c r="B20" s="293" t="s">
        <v>1019</v>
      </c>
      <c r="C20" s="294" t="s">
        <v>1020</v>
      </c>
      <c r="D20" s="294" t="s">
        <v>319</v>
      </c>
      <c r="E20" s="294">
        <v>1</v>
      </c>
      <c r="F20" s="250">
        <f ca="1">VLOOKUP($D20,Data!$C:$I,7,FALSE)</f>
        <v>0</v>
      </c>
      <c r="G20" s="296" t="str">
        <f t="shared" si="0"/>
        <v>ID.AM-61</v>
      </c>
      <c r="H20" s="296" t="str">
        <f t="shared" ca="1" si="1"/>
        <v>ID.AM-610</v>
      </c>
      <c r="J20" s="247"/>
      <c r="K20" s="271"/>
      <c r="L20" s="268" t="s">
        <v>1063</v>
      </c>
      <c r="M20" s="269">
        <f t="shared" ca="1" si="2"/>
        <v>0</v>
      </c>
      <c r="N20" s="270">
        <f t="shared" ca="1" si="3"/>
        <v>0</v>
      </c>
      <c r="O20" s="270">
        <f t="shared" si="4"/>
        <v>4</v>
      </c>
      <c r="P20" s="269">
        <f t="shared" si="5"/>
        <v>0</v>
      </c>
      <c r="Q20" s="270">
        <f t="shared" ca="1" si="6"/>
        <v>0</v>
      </c>
      <c r="R20" s="270">
        <f t="shared" si="7"/>
        <v>0</v>
      </c>
      <c r="S20" s="269">
        <f t="shared" ca="1" si="8"/>
        <v>0</v>
      </c>
      <c r="T20" s="270">
        <f t="shared" ca="1" si="9"/>
        <v>0</v>
      </c>
      <c r="U20" s="270">
        <f t="shared" si="10"/>
        <v>4</v>
      </c>
      <c r="V20" s="269">
        <f t="shared" si="11"/>
        <v>0</v>
      </c>
      <c r="W20" s="270">
        <f t="shared" ca="1" si="12"/>
        <v>0</v>
      </c>
      <c r="X20" s="270">
        <f t="shared" si="13"/>
        <v>0</v>
      </c>
      <c r="Y20" s="247"/>
      <c r="Z20" s="127"/>
      <c r="AA20" s="127"/>
      <c r="AB20" s="127">
        <f>Parameters!$B$4</f>
        <v>0.3</v>
      </c>
      <c r="AC20" s="127">
        <f>Parameters!$B$5-Parameters!$B$4</f>
        <v>0.3</v>
      </c>
      <c r="AD20" s="127">
        <f>Parameters!$B$6-Parameters!$B$5</f>
        <v>0.30000000000000004</v>
      </c>
      <c r="AE20" s="127">
        <f>1-Parameters!$B$6</f>
        <v>9.9999999999999978E-2</v>
      </c>
      <c r="AG20" s="127"/>
    </row>
    <row r="21" spans="1:33" ht="14" x14ac:dyDescent="0.3">
      <c r="A21" s="293">
        <v>21</v>
      </c>
      <c r="B21" s="293" t="s">
        <v>1019</v>
      </c>
      <c r="C21" s="294" t="s">
        <v>1021</v>
      </c>
      <c r="D21" s="294" t="s">
        <v>320</v>
      </c>
      <c r="E21" s="294">
        <v>1</v>
      </c>
      <c r="F21" s="250">
        <f ca="1">VLOOKUP($D21,Data!$C:$I,7,FALSE)</f>
        <v>0</v>
      </c>
      <c r="G21" s="296" t="str">
        <f t="shared" si="0"/>
        <v>ID.AM-61</v>
      </c>
      <c r="H21" s="296" t="str">
        <f t="shared" ca="1" si="1"/>
        <v>ID.AM-610</v>
      </c>
      <c r="J21" s="247"/>
      <c r="K21" s="271"/>
      <c r="L21" s="268" t="s">
        <v>1065</v>
      </c>
      <c r="M21" s="269">
        <f t="shared" ca="1" si="2"/>
        <v>0</v>
      </c>
      <c r="N21" s="270">
        <f t="shared" ca="1" si="3"/>
        <v>0</v>
      </c>
      <c r="O21" s="270">
        <f t="shared" si="4"/>
        <v>5</v>
      </c>
      <c r="P21" s="269">
        <f t="shared" si="5"/>
        <v>0</v>
      </c>
      <c r="Q21" s="270">
        <f t="shared" ca="1" si="6"/>
        <v>0</v>
      </c>
      <c r="R21" s="270">
        <f t="shared" si="7"/>
        <v>0</v>
      </c>
      <c r="S21" s="269">
        <f t="shared" ca="1" si="8"/>
        <v>0</v>
      </c>
      <c r="T21" s="270">
        <f t="shared" ca="1" si="9"/>
        <v>0</v>
      </c>
      <c r="U21" s="270">
        <f t="shared" si="10"/>
        <v>2</v>
      </c>
      <c r="V21" s="269">
        <f t="shared" ca="1" si="11"/>
        <v>0</v>
      </c>
      <c r="W21" s="270">
        <f t="shared" ca="1" si="12"/>
        <v>0</v>
      </c>
      <c r="X21" s="270">
        <f t="shared" si="13"/>
        <v>3</v>
      </c>
      <c r="Y21" s="247"/>
      <c r="Z21" s="127"/>
      <c r="AA21" s="127"/>
      <c r="AB21" s="127"/>
      <c r="AC21" s="127"/>
      <c r="AD21" s="127"/>
      <c r="AE21" s="127"/>
      <c r="AF21" s="127"/>
      <c r="AG21" s="127"/>
    </row>
    <row r="22" spans="1:33" ht="14" x14ac:dyDescent="0.3">
      <c r="A22" s="293">
        <v>22</v>
      </c>
      <c r="B22" s="293" t="s">
        <v>1019</v>
      </c>
      <c r="C22" s="294" t="s">
        <v>1022</v>
      </c>
      <c r="D22" s="294" t="s">
        <v>321</v>
      </c>
      <c r="E22" s="294">
        <v>2</v>
      </c>
      <c r="F22" s="250">
        <f ca="1">VLOOKUP($D22,Data!$C:$I,7,FALSE)</f>
        <v>0</v>
      </c>
      <c r="G22" s="296" t="str">
        <f t="shared" si="0"/>
        <v>ID.AM-62</v>
      </c>
      <c r="H22" s="296" t="str">
        <f t="shared" ca="1" si="1"/>
        <v>ID.AM-620</v>
      </c>
      <c r="J22" s="247"/>
      <c r="K22" s="267"/>
      <c r="L22" s="268" t="s">
        <v>1066</v>
      </c>
      <c r="M22" s="269">
        <f t="shared" ca="1" si="2"/>
        <v>0</v>
      </c>
      <c r="N22" s="270">
        <f t="shared" ca="1" si="3"/>
        <v>0</v>
      </c>
      <c r="O22" s="270">
        <f t="shared" si="4"/>
        <v>6</v>
      </c>
      <c r="P22" s="269">
        <f t="shared" si="5"/>
        <v>0</v>
      </c>
      <c r="Q22" s="270">
        <f t="shared" ca="1" si="6"/>
        <v>0</v>
      </c>
      <c r="R22" s="270">
        <f t="shared" si="7"/>
        <v>0</v>
      </c>
      <c r="S22" s="269">
        <f t="shared" ca="1" si="8"/>
        <v>0</v>
      </c>
      <c r="T22" s="270">
        <f t="shared" ca="1" si="9"/>
        <v>0</v>
      </c>
      <c r="U22" s="270">
        <f t="shared" si="10"/>
        <v>4</v>
      </c>
      <c r="V22" s="269">
        <f t="shared" ca="1" si="11"/>
        <v>0</v>
      </c>
      <c r="W22" s="270">
        <f t="shared" ca="1" si="12"/>
        <v>0</v>
      </c>
      <c r="X22" s="270">
        <f t="shared" si="13"/>
        <v>2</v>
      </c>
      <c r="Y22" s="247"/>
      <c r="Z22" s="127"/>
      <c r="AA22" s="127"/>
      <c r="AB22" s="126"/>
      <c r="AC22" s="127"/>
      <c r="AD22" s="127"/>
      <c r="AE22" s="127"/>
      <c r="AF22" s="127"/>
      <c r="AG22" s="126"/>
    </row>
    <row r="23" spans="1:33" ht="14" x14ac:dyDescent="0.3">
      <c r="A23" s="293">
        <v>23</v>
      </c>
      <c r="B23" s="293" t="s">
        <v>1023</v>
      </c>
      <c r="C23" s="294" t="s">
        <v>1024</v>
      </c>
      <c r="D23" s="294" t="s">
        <v>291</v>
      </c>
      <c r="E23" s="294">
        <v>1</v>
      </c>
      <c r="F23" s="250">
        <f ca="1">VLOOKUP($D23,Data!$C:$I,7,FALSE)</f>
        <v>0</v>
      </c>
      <c r="G23" s="296" t="str">
        <f t="shared" si="0"/>
        <v>ID.BE-11</v>
      </c>
      <c r="H23" s="296" t="str">
        <f t="shared" ca="1" si="1"/>
        <v>ID.BE-110</v>
      </c>
      <c r="J23" s="247"/>
      <c r="K23" s="267" t="s">
        <v>1255</v>
      </c>
      <c r="L23" s="268" t="s">
        <v>1068</v>
      </c>
      <c r="M23" s="269">
        <f t="shared" ca="1" si="2"/>
        <v>0</v>
      </c>
      <c r="N23" s="270">
        <f t="shared" ca="1" si="3"/>
        <v>0</v>
      </c>
      <c r="O23" s="270">
        <f t="shared" si="4"/>
        <v>19</v>
      </c>
      <c r="P23" s="269">
        <f t="shared" ca="1" si="5"/>
        <v>0</v>
      </c>
      <c r="Q23" s="270">
        <f t="shared" ca="1" si="6"/>
        <v>0</v>
      </c>
      <c r="R23" s="270">
        <f t="shared" si="7"/>
        <v>3</v>
      </c>
      <c r="S23" s="269">
        <f t="shared" ca="1" si="8"/>
        <v>0</v>
      </c>
      <c r="T23" s="270">
        <f t="shared" ca="1" si="9"/>
        <v>0</v>
      </c>
      <c r="U23" s="270">
        <f t="shared" si="10"/>
        <v>9</v>
      </c>
      <c r="V23" s="269">
        <f t="shared" ca="1" si="11"/>
        <v>0</v>
      </c>
      <c r="W23" s="270">
        <f t="shared" ca="1" si="12"/>
        <v>0</v>
      </c>
      <c r="X23" s="270">
        <f t="shared" si="13"/>
        <v>7</v>
      </c>
      <c r="Y23" s="247"/>
      <c r="Z23" s="127"/>
      <c r="AA23" s="127"/>
      <c r="AB23" s="127"/>
      <c r="AC23" s="127"/>
      <c r="AD23" s="127"/>
      <c r="AE23" s="127"/>
      <c r="AF23" s="127"/>
      <c r="AG23" s="127"/>
    </row>
    <row r="24" spans="1:33" ht="14" x14ac:dyDescent="0.3">
      <c r="A24" s="293">
        <v>24</v>
      </c>
      <c r="B24" s="293" t="s">
        <v>1023</v>
      </c>
      <c r="C24" s="294" t="s">
        <v>1025</v>
      </c>
      <c r="D24" s="294" t="s">
        <v>293</v>
      </c>
      <c r="E24" s="294">
        <v>2</v>
      </c>
      <c r="F24" s="250">
        <f ca="1">VLOOKUP($D24,Data!$C:$I,7,FALSE)</f>
        <v>0</v>
      </c>
      <c r="G24" s="296" t="str">
        <f t="shared" si="0"/>
        <v>ID.BE-12</v>
      </c>
      <c r="H24" s="296" t="str">
        <f t="shared" ca="1" si="1"/>
        <v>ID.BE-120</v>
      </c>
      <c r="J24" s="247"/>
      <c r="K24" s="271"/>
      <c r="L24" s="268" t="s">
        <v>1077</v>
      </c>
      <c r="M24" s="269">
        <f t="shared" ca="1" si="2"/>
        <v>0</v>
      </c>
      <c r="N24" s="270">
        <f t="shared" ca="1" si="3"/>
        <v>0</v>
      </c>
      <c r="O24" s="270">
        <f t="shared" si="4"/>
        <v>2</v>
      </c>
      <c r="P24" s="269">
        <f t="shared" si="5"/>
        <v>0</v>
      </c>
      <c r="Q24" s="270">
        <f t="shared" ca="1" si="6"/>
        <v>0</v>
      </c>
      <c r="R24" s="270">
        <f t="shared" si="7"/>
        <v>0</v>
      </c>
      <c r="S24" s="269">
        <f t="shared" ca="1" si="8"/>
        <v>0</v>
      </c>
      <c r="T24" s="270">
        <f t="shared" ca="1" si="9"/>
        <v>0</v>
      </c>
      <c r="U24" s="270">
        <f t="shared" si="10"/>
        <v>1</v>
      </c>
      <c r="V24" s="269">
        <f t="shared" ca="1" si="11"/>
        <v>0</v>
      </c>
      <c r="W24" s="270">
        <f t="shared" ca="1" si="12"/>
        <v>0</v>
      </c>
      <c r="X24" s="270">
        <f t="shared" si="13"/>
        <v>1</v>
      </c>
      <c r="Y24" s="247"/>
      <c r="Z24" s="127"/>
      <c r="AA24" s="127"/>
      <c r="AB24" s="127"/>
      <c r="AC24" s="127"/>
      <c r="AD24" s="127"/>
      <c r="AE24" s="127"/>
      <c r="AF24" s="127"/>
      <c r="AG24" s="127"/>
    </row>
    <row r="25" spans="1:33" ht="14" x14ac:dyDescent="0.3">
      <c r="A25" s="293">
        <v>25</v>
      </c>
      <c r="B25" s="293" t="s">
        <v>1023</v>
      </c>
      <c r="C25" s="294" t="s">
        <v>1026</v>
      </c>
      <c r="D25" s="294" t="s">
        <v>295</v>
      </c>
      <c r="E25" s="294">
        <v>2</v>
      </c>
      <c r="F25" s="250">
        <f ca="1">VLOOKUP($D25,Data!$C:$I,7,FALSE)</f>
        <v>0</v>
      </c>
      <c r="G25" s="296" t="str">
        <f t="shared" si="0"/>
        <v>ID.BE-12</v>
      </c>
      <c r="H25" s="296" t="str">
        <f t="shared" ca="1" si="1"/>
        <v>ID.BE-120</v>
      </c>
      <c r="J25" s="247"/>
      <c r="K25" s="267"/>
      <c r="L25" s="268" t="s">
        <v>1078</v>
      </c>
      <c r="M25" s="269">
        <f t="shared" ca="1" si="2"/>
        <v>0</v>
      </c>
      <c r="N25" s="270">
        <f t="shared" ca="1" si="3"/>
        <v>0</v>
      </c>
      <c r="O25" s="270">
        <f t="shared" si="4"/>
        <v>1</v>
      </c>
      <c r="P25" s="269">
        <f t="shared" si="5"/>
        <v>0</v>
      </c>
      <c r="Q25" s="270">
        <f t="shared" ca="1" si="6"/>
        <v>0</v>
      </c>
      <c r="R25" s="270">
        <f t="shared" si="7"/>
        <v>0</v>
      </c>
      <c r="S25" s="269">
        <f t="shared" ca="1" si="8"/>
        <v>0</v>
      </c>
      <c r="T25" s="270">
        <f t="shared" ca="1" si="9"/>
        <v>0</v>
      </c>
      <c r="U25" s="270">
        <f t="shared" si="10"/>
        <v>1</v>
      </c>
      <c r="V25" s="269">
        <f t="shared" si="11"/>
        <v>0</v>
      </c>
      <c r="W25" s="270">
        <f t="shared" ca="1" si="12"/>
        <v>0</v>
      </c>
      <c r="X25" s="270">
        <f t="shared" si="13"/>
        <v>0</v>
      </c>
      <c r="Y25" s="247"/>
      <c r="Z25" s="127"/>
      <c r="AA25" s="127"/>
      <c r="AB25" s="127"/>
      <c r="AC25" s="127"/>
      <c r="AD25" s="127"/>
      <c r="AE25" s="127"/>
      <c r="AF25" s="127"/>
      <c r="AG25" s="127"/>
    </row>
    <row r="26" spans="1:33" ht="14" x14ac:dyDescent="0.3">
      <c r="A26" s="293">
        <v>26</v>
      </c>
      <c r="B26" s="293" t="s">
        <v>1023</v>
      </c>
      <c r="C26" s="294" t="s">
        <v>1016</v>
      </c>
      <c r="D26" s="294" t="s">
        <v>296</v>
      </c>
      <c r="E26" s="294">
        <v>3</v>
      </c>
      <c r="F26" s="250">
        <f ca="1">VLOOKUP($D26,Data!$C:$I,7,FALSE)</f>
        <v>0</v>
      </c>
      <c r="G26" s="296" t="str">
        <f t="shared" si="0"/>
        <v>ID.BE-13</v>
      </c>
      <c r="H26" s="296" t="str">
        <f t="shared" ca="1" si="1"/>
        <v>ID.BE-130</v>
      </c>
      <c r="J26" s="247"/>
      <c r="K26" s="267" t="s">
        <v>1256</v>
      </c>
      <c r="L26" s="268" t="s">
        <v>987</v>
      </c>
      <c r="M26" s="269">
        <f t="shared" ca="1" si="2"/>
        <v>0</v>
      </c>
      <c r="N26" s="270">
        <f t="shared" ca="1" si="3"/>
        <v>0</v>
      </c>
      <c r="O26" s="270">
        <f t="shared" si="4"/>
        <v>4</v>
      </c>
      <c r="P26" s="269">
        <f t="shared" ca="1" si="5"/>
        <v>0</v>
      </c>
      <c r="Q26" s="270">
        <f t="shared" ca="1" si="6"/>
        <v>0</v>
      </c>
      <c r="R26" s="270">
        <f t="shared" si="7"/>
        <v>2</v>
      </c>
      <c r="S26" s="269">
        <f t="shared" ca="1" si="8"/>
        <v>0</v>
      </c>
      <c r="T26" s="270">
        <f t="shared" ca="1" si="9"/>
        <v>0</v>
      </c>
      <c r="U26" s="270">
        <f t="shared" si="10"/>
        <v>1</v>
      </c>
      <c r="V26" s="269">
        <f t="shared" ca="1" si="11"/>
        <v>0</v>
      </c>
      <c r="W26" s="270">
        <f t="shared" ca="1" si="12"/>
        <v>0</v>
      </c>
      <c r="X26" s="270">
        <f t="shared" si="13"/>
        <v>1</v>
      </c>
      <c r="Y26" s="247"/>
      <c r="Z26" s="127"/>
      <c r="AA26" s="127"/>
      <c r="AB26" s="126"/>
      <c r="AC26" s="127"/>
      <c r="AD26" s="127"/>
      <c r="AE26" s="127"/>
      <c r="AF26" s="127"/>
      <c r="AG26" s="126"/>
    </row>
    <row r="27" spans="1:33" ht="14" x14ac:dyDescent="0.3">
      <c r="A27" s="293">
        <v>27</v>
      </c>
      <c r="B27" s="293" t="s">
        <v>1023</v>
      </c>
      <c r="C27" s="294" t="s">
        <v>1017</v>
      </c>
      <c r="D27" s="294" t="s">
        <v>65</v>
      </c>
      <c r="E27" s="294">
        <v>2</v>
      </c>
      <c r="F27" s="250">
        <f ca="1">VLOOKUP($D27,Data!$C:$I,7,FALSE)</f>
        <v>0</v>
      </c>
      <c r="G27" s="296" t="str">
        <f t="shared" si="0"/>
        <v>ID.BE-12</v>
      </c>
      <c r="H27" s="296" t="str">
        <f t="shared" ca="1" si="1"/>
        <v>ID.BE-120</v>
      </c>
      <c r="J27" s="247"/>
      <c r="K27" s="271"/>
      <c r="L27" s="268" t="s">
        <v>1083</v>
      </c>
      <c r="M27" s="269">
        <f t="shared" ca="1" si="2"/>
        <v>0</v>
      </c>
      <c r="N27" s="270">
        <f t="shared" ca="1" si="3"/>
        <v>0</v>
      </c>
      <c r="O27" s="270">
        <f t="shared" si="4"/>
        <v>8</v>
      </c>
      <c r="P27" s="269">
        <f t="shared" ca="1" si="5"/>
        <v>0</v>
      </c>
      <c r="Q27" s="270">
        <f t="shared" ca="1" si="6"/>
        <v>0</v>
      </c>
      <c r="R27" s="270">
        <f t="shared" si="7"/>
        <v>2</v>
      </c>
      <c r="S27" s="269">
        <f t="shared" ca="1" si="8"/>
        <v>0</v>
      </c>
      <c r="T27" s="270">
        <f t="shared" ca="1" si="9"/>
        <v>0</v>
      </c>
      <c r="U27" s="270">
        <f t="shared" si="10"/>
        <v>4</v>
      </c>
      <c r="V27" s="269">
        <f t="shared" ca="1" si="11"/>
        <v>0</v>
      </c>
      <c r="W27" s="270">
        <f t="shared" ca="1" si="12"/>
        <v>0</v>
      </c>
      <c r="X27" s="270">
        <f t="shared" si="13"/>
        <v>2</v>
      </c>
      <c r="Y27" s="247"/>
    </row>
    <row r="28" spans="1:33" ht="14" x14ac:dyDescent="0.3">
      <c r="A28" s="293">
        <v>28</v>
      </c>
      <c r="B28" s="293" t="s">
        <v>1027</v>
      </c>
      <c r="C28" s="294" t="s">
        <v>1024</v>
      </c>
      <c r="D28" s="294" t="s">
        <v>291</v>
      </c>
      <c r="E28" s="294">
        <v>1</v>
      </c>
      <c r="F28" s="250">
        <f ca="1">VLOOKUP($D28,Data!$C:$I,7,FALSE)</f>
        <v>0</v>
      </c>
      <c r="G28" s="296" t="str">
        <f t="shared" si="0"/>
        <v>ID.BE-21</v>
      </c>
      <c r="H28" s="296" t="str">
        <f t="shared" ca="1" si="1"/>
        <v>ID.BE-210</v>
      </c>
      <c r="J28" s="247"/>
      <c r="K28" s="271"/>
      <c r="L28" s="268" t="s">
        <v>988</v>
      </c>
      <c r="M28" s="269">
        <f t="shared" ca="1" si="2"/>
        <v>0</v>
      </c>
      <c r="N28" s="270">
        <f t="shared" ca="1" si="3"/>
        <v>0</v>
      </c>
      <c r="O28" s="270">
        <f t="shared" si="4"/>
        <v>9</v>
      </c>
      <c r="P28" s="269">
        <f t="shared" ca="1" si="5"/>
        <v>0</v>
      </c>
      <c r="Q28" s="270">
        <f t="shared" ca="1" si="6"/>
        <v>0</v>
      </c>
      <c r="R28" s="270">
        <f t="shared" si="7"/>
        <v>1</v>
      </c>
      <c r="S28" s="269">
        <f t="shared" ca="1" si="8"/>
        <v>0</v>
      </c>
      <c r="T28" s="270">
        <f t="shared" ca="1" si="9"/>
        <v>0</v>
      </c>
      <c r="U28" s="270">
        <f t="shared" si="10"/>
        <v>5</v>
      </c>
      <c r="V28" s="269">
        <f t="shared" ca="1" si="11"/>
        <v>0</v>
      </c>
      <c r="W28" s="270">
        <f t="shared" ca="1" si="12"/>
        <v>0</v>
      </c>
      <c r="X28" s="270">
        <f t="shared" si="13"/>
        <v>3</v>
      </c>
      <c r="Y28" s="247"/>
    </row>
    <row r="29" spans="1:33" ht="14" x14ac:dyDescent="0.3">
      <c r="A29" s="293">
        <v>29</v>
      </c>
      <c r="B29" s="293" t="s">
        <v>1027</v>
      </c>
      <c r="C29" s="294" t="s">
        <v>1025</v>
      </c>
      <c r="D29" s="294" t="s">
        <v>293</v>
      </c>
      <c r="E29" s="294">
        <v>2</v>
      </c>
      <c r="F29" s="250">
        <f ca="1">VLOOKUP($D29,Data!$C:$I,7,FALSE)</f>
        <v>0</v>
      </c>
      <c r="G29" s="296" t="str">
        <f t="shared" si="0"/>
        <v>ID.BE-22</v>
      </c>
      <c r="H29" s="296" t="str">
        <f t="shared" ca="1" si="1"/>
        <v>ID.BE-220</v>
      </c>
      <c r="J29" s="247"/>
      <c r="K29" s="271"/>
      <c r="L29" s="268" t="s">
        <v>1003</v>
      </c>
      <c r="M29" s="269">
        <f t="shared" ca="1" si="2"/>
        <v>0</v>
      </c>
      <c r="N29" s="270">
        <f t="shared" ca="1" si="3"/>
        <v>0</v>
      </c>
      <c r="O29" s="270">
        <f t="shared" si="4"/>
        <v>3</v>
      </c>
      <c r="P29" s="269">
        <f t="shared" si="5"/>
        <v>0</v>
      </c>
      <c r="Q29" s="270">
        <f t="shared" ca="1" si="6"/>
        <v>0</v>
      </c>
      <c r="R29" s="270">
        <f t="shared" si="7"/>
        <v>0</v>
      </c>
      <c r="S29" s="269">
        <f t="shared" ca="1" si="8"/>
        <v>0</v>
      </c>
      <c r="T29" s="270">
        <f t="shared" ca="1" si="9"/>
        <v>0</v>
      </c>
      <c r="U29" s="270">
        <f t="shared" si="10"/>
        <v>1</v>
      </c>
      <c r="V29" s="269">
        <f t="shared" ca="1" si="11"/>
        <v>0</v>
      </c>
      <c r="W29" s="270">
        <f t="shared" ca="1" si="12"/>
        <v>0</v>
      </c>
      <c r="X29" s="270">
        <f t="shared" si="13"/>
        <v>2</v>
      </c>
      <c r="Y29" s="247"/>
    </row>
    <row r="30" spans="1:33" ht="14" x14ac:dyDescent="0.3">
      <c r="A30" s="293">
        <v>30</v>
      </c>
      <c r="B30" s="293" t="s">
        <v>1027</v>
      </c>
      <c r="C30" s="294" t="s">
        <v>1026</v>
      </c>
      <c r="D30" s="294" t="s">
        <v>295</v>
      </c>
      <c r="E30" s="294">
        <v>2</v>
      </c>
      <c r="F30" s="250">
        <f ca="1">VLOOKUP($D30,Data!$C:$I,7,FALSE)</f>
        <v>0</v>
      </c>
      <c r="G30" s="296" t="str">
        <f t="shared" si="0"/>
        <v>ID.BE-22</v>
      </c>
      <c r="H30" s="296" t="str">
        <f t="shared" ca="1" si="1"/>
        <v>ID.BE-220</v>
      </c>
      <c r="J30" s="247"/>
      <c r="K30" s="272"/>
      <c r="L30" s="273" t="s">
        <v>1091</v>
      </c>
      <c r="M30" s="269">
        <f ca="1">IF(O30=0,0,N30/O30)</f>
        <v>0</v>
      </c>
      <c r="N30" s="270">
        <f ca="1">SUM(Q30+T30+W30)</f>
        <v>0</v>
      </c>
      <c r="O30" s="270">
        <f t="shared" ref="O30:O66" si="14">SUM(R30+U30+X30)</f>
        <v>4</v>
      </c>
      <c r="P30" s="269">
        <f t="shared" ref="P30:P77" si="15">IF(R30=0,0,Q30/R30)</f>
        <v>0</v>
      </c>
      <c r="Q30" s="270">
        <f t="shared" ca="1" si="6"/>
        <v>0</v>
      </c>
      <c r="R30" s="270">
        <f t="shared" si="7"/>
        <v>0</v>
      </c>
      <c r="S30" s="269">
        <f t="shared" ref="S30:S77" ca="1" si="16">IF(U30=0,0,T30/U30)</f>
        <v>0</v>
      </c>
      <c r="T30" s="270">
        <f t="shared" ca="1" si="9"/>
        <v>0</v>
      </c>
      <c r="U30" s="270">
        <f t="shared" si="10"/>
        <v>2</v>
      </c>
      <c r="V30" s="269">
        <f t="shared" ref="V30:V65" ca="1" si="17">IF(X30=0,0,W30/X30)</f>
        <v>0</v>
      </c>
      <c r="W30" s="270">
        <f t="shared" ca="1" si="12"/>
        <v>0</v>
      </c>
      <c r="X30" s="270">
        <f t="shared" si="13"/>
        <v>2</v>
      </c>
      <c r="Y30" s="247"/>
    </row>
    <row r="31" spans="1:33" ht="14" x14ac:dyDescent="0.3">
      <c r="A31" s="293">
        <v>31</v>
      </c>
      <c r="B31" s="293" t="s">
        <v>1027</v>
      </c>
      <c r="C31" s="294" t="s">
        <v>1028</v>
      </c>
      <c r="D31" s="294" t="s">
        <v>385</v>
      </c>
      <c r="E31" s="294">
        <v>2</v>
      </c>
      <c r="F31" s="250">
        <f ca="1">VLOOKUP($D31,Data!$C:$I,7,FALSE)</f>
        <v>0</v>
      </c>
      <c r="G31" s="296" t="str">
        <f t="shared" si="0"/>
        <v>ID.BE-22</v>
      </c>
      <c r="H31" s="296" t="str">
        <f t="shared" ca="1" si="1"/>
        <v>ID.BE-220</v>
      </c>
      <c r="J31" s="263" t="s">
        <v>2481</v>
      </c>
      <c r="K31" s="272" t="s">
        <v>1257</v>
      </c>
      <c r="L31" s="273" t="s">
        <v>1095</v>
      </c>
      <c r="M31" s="269">
        <f t="shared" ref="M31:M66" ca="1" si="18">IF(O31=0,0,N31/O31)</f>
        <v>0</v>
      </c>
      <c r="N31" s="270">
        <f t="shared" ref="N31:N66" ca="1" si="19">SUM(Q31+T31+W31)</f>
        <v>0</v>
      </c>
      <c r="O31" s="270">
        <f t="shared" si="14"/>
        <v>8</v>
      </c>
      <c r="P31" s="269">
        <f t="shared" ca="1" si="15"/>
        <v>0</v>
      </c>
      <c r="Q31" s="270">
        <f t="shared" ca="1" si="6"/>
        <v>0</v>
      </c>
      <c r="R31" s="270">
        <f t="shared" si="7"/>
        <v>3</v>
      </c>
      <c r="S31" s="269">
        <f t="shared" ca="1" si="16"/>
        <v>0</v>
      </c>
      <c r="T31" s="270">
        <f t="shared" ca="1" si="9"/>
        <v>0</v>
      </c>
      <c r="U31" s="270">
        <f t="shared" si="10"/>
        <v>4</v>
      </c>
      <c r="V31" s="269">
        <f t="shared" ca="1" si="17"/>
        <v>0</v>
      </c>
      <c r="W31" s="270">
        <f t="shared" ca="1" si="12"/>
        <v>0</v>
      </c>
      <c r="X31" s="270">
        <f t="shared" si="13"/>
        <v>1</v>
      </c>
      <c r="Y31" s="247"/>
    </row>
    <row r="32" spans="1:33" ht="14" x14ac:dyDescent="0.3">
      <c r="A32" s="293">
        <v>32</v>
      </c>
      <c r="B32" s="293" t="s">
        <v>1027</v>
      </c>
      <c r="C32" s="294" t="s">
        <v>1016</v>
      </c>
      <c r="D32" s="294" t="s">
        <v>296</v>
      </c>
      <c r="E32" s="294">
        <v>3</v>
      </c>
      <c r="F32" s="250">
        <f ca="1">VLOOKUP($D32,Data!$C:$I,7,FALSE)</f>
        <v>0</v>
      </c>
      <c r="G32" s="296" t="str">
        <f t="shared" si="0"/>
        <v>ID.BE-23</v>
      </c>
      <c r="H32" s="296" t="str">
        <f t="shared" ca="1" si="1"/>
        <v>ID.BE-230</v>
      </c>
      <c r="J32" s="247"/>
      <c r="K32" s="272"/>
      <c r="L32" s="273" t="s">
        <v>1103</v>
      </c>
      <c r="M32" s="269">
        <f t="shared" ca="1" si="18"/>
        <v>0</v>
      </c>
      <c r="N32" s="270">
        <f t="shared" ca="1" si="19"/>
        <v>0</v>
      </c>
      <c r="O32" s="270">
        <f t="shared" si="14"/>
        <v>7</v>
      </c>
      <c r="P32" s="269">
        <f t="shared" ca="1" si="15"/>
        <v>0</v>
      </c>
      <c r="Q32" s="270">
        <f t="shared" ca="1" si="6"/>
        <v>0</v>
      </c>
      <c r="R32" s="270">
        <f t="shared" si="7"/>
        <v>3</v>
      </c>
      <c r="S32" s="269">
        <f t="shared" ca="1" si="16"/>
        <v>0</v>
      </c>
      <c r="T32" s="270">
        <f t="shared" ca="1" si="9"/>
        <v>0</v>
      </c>
      <c r="U32" s="270">
        <f t="shared" si="10"/>
        <v>3</v>
      </c>
      <c r="V32" s="269">
        <f t="shared" ca="1" si="17"/>
        <v>0</v>
      </c>
      <c r="W32" s="270">
        <f t="shared" ca="1" si="12"/>
        <v>0</v>
      </c>
      <c r="X32" s="270">
        <f t="shared" si="13"/>
        <v>1</v>
      </c>
      <c r="Y32" s="247"/>
    </row>
    <row r="33" spans="1:25" ht="14" x14ac:dyDescent="0.3">
      <c r="A33" s="293">
        <v>33</v>
      </c>
      <c r="B33" s="293" t="s">
        <v>1027</v>
      </c>
      <c r="C33" s="294" t="s">
        <v>1017</v>
      </c>
      <c r="D33" s="294" t="s">
        <v>65</v>
      </c>
      <c r="E33" s="294">
        <v>2</v>
      </c>
      <c r="F33" s="250">
        <f ca="1">VLOOKUP($D33,Data!$C:$I,7,FALSE)</f>
        <v>0</v>
      </c>
      <c r="G33" s="296" t="str">
        <f t="shared" si="0"/>
        <v>ID.BE-22</v>
      </c>
      <c r="H33" s="296" t="str">
        <f t="shared" ca="1" si="1"/>
        <v>ID.BE-220</v>
      </c>
      <c r="J33" s="247"/>
      <c r="K33" s="272"/>
      <c r="L33" s="273" t="s">
        <v>1111</v>
      </c>
      <c r="M33" s="269">
        <f t="shared" ca="1" si="18"/>
        <v>0</v>
      </c>
      <c r="N33" s="270">
        <f t="shared" ca="1" si="19"/>
        <v>0</v>
      </c>
      <c r="O33" s="270">
        <f t="shared" si="14"/>
        <v>7</v>
      </c>
      <c r="P33" s="269">
        <f t="shared" ca="1" si="15"/>
        <v>0</v>
      </c>
      <c r="Q33" s="270">
        <f t="shared" ca="1" si="6"/>
        <v>0</v>
      </c>
      <c r="R33" s="270">
        <f t="shared" si="7"/>
        <v>3</v>
      </c>
      <c r="S33" s="269">
        <f t="shared" ca="1" si="16"/>
        <v>0</v>
      </c>
      <c r="T33" s="270">
        <f t="shared" ca="1" si="9"/>
        <v>0</v>
      </c>
      <c r="U33" s="270">
        <f t="shared" si="10"/>
        <v>3</v>
      </c>
      <c r="V33" s="269">
        <f t="shared" ca="1" si="17"/>
        <v>0</v>
      </c>
      <c r="W33" s="270">
        <f t="shared" ca="1" si="12"/>
        <v>0</v>
      </c>
      <c r="X33" s="270">
        <f t="shared" si="13"/>
        <v>1</v>
      </c>
      <c r="Y33" s="247"/>
    </row>
    <row r="34" spans="1:25" ht="14" x14ac:dyDescent="0.3">
      <c r="A34" s="293">
        <v>35</v>
      </c>
      <c r="B34" s="293" t="s">
        <v>1029</v>
      </c>
      <c r="C34" s="294" t="s">
        <v>1017</v>
      </c>
      <c r="D34" s="294" t="s">
        <v>65</v>
      </c>
      <c r="E34" s="294">
        <v>2</v>
      </c>
      <c r="F34" s="250">
        <f ca="1">VLOOKUP($D34,Data!$C:$I,7,FALSE)</f>
        <v>0</v>
      </c>
      <c r="G34" s="296" t="str">
        <f t="shared" si="0"/>
        <v>ID.BE-32</v>
      </c>
      <c r="H34" s="296" t="str">
        <f t="shared" ca="1" si="1"/>
        <v>ID.BE-320</v>
      </c>
      <c r="J34" s="247"/>
      <c r="K34" s="272"/>
      <c r="L34" s="273" t="s">
        <v>1112</v>
      </c>
      <c r="M34" s="269">
        <f t="shared" ca="1" si="18"/>
        <v>0</v>
      </c>
      <c r="N34" s="270">
        <f t="shared" ca="1" si="19"/>
        <v>0</v>
      </c>
      <c r="O34" s="270">
        <f t="shared" si="14"/>
        <v>1</v>
      </c>
      <c r="P34" s="269">
        <f t="shared" si="15"/>
        <v>0</v>
      </c>
      <c r="Q34" s="270">
        <f t="shared" ref="Q34:Q65" ca="1" si="20">COUNTIF($H:$H,CONCATENATE($L34,P$1,1))</f>
        <v>0</v>
      </c>
      <c r="R34" s="270">
        <f t="shared" ref="R34:R65" si="21">COUNTIF($G:$G,CONCATENATE($L34,P$1))</f>
        <v>0</v>
      </c>
      <c r="S34" s="269">
        <f t="shared" ca="1" si="16"/>
        <v>0</v>
      </c>
      <c r="T34" s="270">
        <f t="shared" ref="T34:T65" ca="1" si="22">COUNTIF($H:$H,CONCATENATE($L34,S$1,1))</f>
        <v>0</v>
      </c>
      <c r="U34" s="270">
        <f t="shared" ref="U34:U65" si="23">COUNTIF($G:$G,CONCATENATE($L34,S$1))</f>
        <v>1</v>
      </c>
      <c r="V34" s="269">
        <f t="shared" si="17"/>
        <v>0</v>
      </c>
      <c r="W34" s="270">
        <f t="shared" ref="W34:W65" ca="1" si="24">COUNTIF($H:$H,CONCATENATE($L34,V$1,1))</f>
        <v>0</v>
      </c>
      <c r="X34" s="270">
        <f t="shared" ref="X34:X65" si="25">COUNTIF($G:$G,CONCATENATE($L34,V$1))</f>
        <v>0</v>
      </c>
      <c r="Y34" s="247"/>
    </row>
    <row r="35" spans="1:25" ht="14" x14ac:dyDescent="0.3">
      <c r="A35" s="293">
        <v>36</v>
      </c>
      <c r="B35" s="293" t="s">
        <v>984</v>
      </c>
      <c r="C35" s="294" t="s">
        <v>1006</v>
      </c>
      <c r="D35" s="294" t="s">
        <v>92</v>
      </c>
      <c r="E35" s="294">
        <v>1</v>
      </c>
      <c r="F35" s="250">
        <f ca="1">VLOOKUP($D35,Data!$C:$I,7,FALSE)</f>
        <v>0</v>
      </c>
      <c r="G35" s="296" t="str">
        <f t="shared" si="0"/>
        <v>ID.BE-41</v>
      </c>
      <c r="H35" s="296" t="str">
        <f t="shared" ca="1" si="1"/>
        <v>ID.BE-410</v>
      </c>
      <c r="J35" s="247"/>
      <c r="K35" s="272"/>
      <c r="L35" s="273" t="s">
        <v>1113</v>
      </c>
      <c r="M35" s="269">
        <f t="shared" ca="1" si="18"/>
        <v>0</v>
      </c>
      <c r="N35" s="270">
        <f t="shared" ca="1" si="19"/>
        <v>0</v>
      </c>
      <c r="O35" s="270">
        <f t="shared" si="14"/>
        <v>9</v>
      </c>
      <c r="P35" s="269">
        <f t="shared" ca="1" si="15"/>
        <v>0</v>
      </c>
      <c r="Q35" s="270">
        <f t="shared" ca="1" si="20"/>
        <v>0</v>
      </c>
      <c r="R35" s="270">
        <f t="shared" si="21"/>
        <v>2</v>
      </c>
      <c r="S35" s="269">
        <f t="shared" ca="1" si="16"/>
        <v>0</v>
      </c>
      <c r="T35" s="270">
        <f t="shared" ca="1" si="22"/>
        <v>0</v>
      </c>
      <c r="U35" s="270">
        <f t="shared" si="23"/>
        <v>6</v>
      </c>
      <c r="V35" s="269">
        <f t="shared" ca="1" si="17"/>
        <v>0</v>
      </c>
      <c r="W35" s="270">
        <f t="shared" ca="1" si="24"/>
        <v>0</v>
      </c>
      <c r="X35" s="270">
        <f t="shared" si="25"/>
        <v>1</v>
      </c>
      <c r="Y35" s="247"/>
    </row>
    <row r="36" spans="1:25" ht="14" x14ac:dyDescent="0.3">
      <c r="A36" s="293">
        <v>37</v>
      </c>
      <c r="B36" s="293" t="s">
        <v>984</v>
      </c>
      <c r="C36" s="294" t="s">
        <v>2500</v>
      </c>
      <c r="D36" s="294" t="s">
        <v>103</v>
      </c>
      <c r="E36" s="294">
        <v>1</v>
      </c>
      <c r="F36" s="250">
        <f ca="1">VLOOKUP($D36,Data!$C:$I,7,FALSE)</f>
        <v>0</v>
      </c>
      <c r="G36" s="296" t="str">
        <f t="shared" si="0"/>
        <v>ID.BE-41</v>
      </c>
      <c r="H36" s="296" t="str">
        <f t="shared" ca="1" si="1"/>
        <v>ID.BE-410</v>
      </c>
      <c r="J36" s="247"/>
      <c r="K36" s="272"/>
      <c r="L36" s="273" t="s">
        <v>1117</v>
      </c>
      <c r="M36" s="269">
        <f t="shared" ca="1" si="18"/>
        <v>0</v>
      </c>
      <c r="N36" s="270">
        <f t="shared" ca="1" si="19"/>
        <v>0</v>
      </c>
      <c r="O36" s="270">
        <f t="shared" si="14"/>
        <v>1</v>
      </c>
      <c r="P36" s="269">
        <f t="shared" si="15"/>
        <v>0</v>
      </c>
      <c r="Q36" s="270">
        <f t="shared" ca="1" si="20"/>
        <v>0</v>
      </c>
      <c r="R36" s="270">
        <f t="shared" si="21"/>
        <v>0</v>
      </c>
      <c r="S36" s="269">
        <f t="shared" ca="1" si="16"/>
        <v>0</v>
      </c>
      <c r="T36" s="270">
        <f t="shared" ca="1" si="22"/>
        <v>0</v>
      </c>
      <c r="U36" s="270">
        <f t="shared" si="23"/>
        <v>1</v>
      </c>
      <c r="V36" s="269">
        <f t="shared" si="17"/>
        <v>0</v>
      </c>
      <c r="W36" s="270">
        <f t="shared" ca="1" si="24"/>
        <v>0</v>
      </c>
      <c r="X36" s="270">
        <f t="shared" si="25"/>
        <v>0</v>
      </c>
      <c r="Y36" s="247"/>
    </row>
    <row r="37" spans="1:25" ht="14" x14ac:dyDescent="0.3">
      <c r="A37" s="293">
        <v>38</v>
      </c>
      <c r="B37" s="293" t="s">
        <v>984</v>
      </c>
      <c r="C37" s="294" t="s">
        <v>1013</v>
      </c>
      <c r="D37" s="294" t="s">
        <v>290</v>
      </c>
      <c r="E37" s="294">
        <v>1</v>
      </c>
      <c r="F37" s="250">
        <f ca="1">VLOOKUP($D37,Data!$C:$I,7,FALSE)</f>
        <v>0</v>
      </c>
      <c r="G37" s="296" t="str">
        <f t="shared" si="0"/>
        <v>ID.BE-41</v>
      </c>
      <c r="H37" s="296" t="str">
        <f t="shared" ca="1" si="1"/>
        <v>ID.BE-410</v>
      </c>
      <c r="J37" s="247"/>
      <c r="K37" s="272"/>
      <c r="L37" s="273" t="s">
        <v>1118</v>
      </c>
      <c r="M37" s="269">
        <f t="shared" ca="1" si="18"/>
        <v>0</v>
      </c>
      <c r="N37" s="270">
        <f t="shared" ca="1" si="19"/>
        <v>0</v>
      </c>
      <c r="O37" s="270">
        <f t="shared" si="14"/>
        <v>2</v>
      </c>
      <c r="P37" s="269">
        <f t="shared" ca="1" si="15"/>
        <v>0</v>
      </c>
      <c r="Q37" s="270">
        <f t="shared" ca="1" si="20"/>
        <v>0</v>
      </c>
      <c r="R37" s="270">
        <f t="shared" si="21"/>
        <v>1</v>
      </c>
      <c r="S37" s="269">
        <f t="shared" si="16"/>
        <v>0</v>
      </c>
      <c r="T37" s="270">
        <f t="shared" ca="1" si="22"/>
        <v>0</v>
      </c>
      <c r="U37" s="270">
        <f t="shared" si="23"/>
        <v>0</v>
      </c>
      <c r="V37" s="269">
        <f t="shared" ca="1" si="17"/>
        <v>0</v>
      </c>
      <c r="W37" s="270">
        <f t="shared" ca="1" si="24"/>
        <v>0</v>
      </c>
      <c r="X37" s="270">
        <f t="shared" si="25"/>
        <v>1</v>
      </c>
      <c r="Y37" s="247"/>
    </row>
    <row r="38" spans="1:25" ht="14" x14ac:dyDescent="0.3">
      <c r="A38" s="293">
        <v>39</v>
      </c>
      <c r="B38" s="293" t="s">
        <v>984</v>
      </c>
      <c r="C38" s="294" t="s">
        <v>1007</v>
      </c>
      <c r="D38" s="294" t="s">
        <v>94</v>
      </c>
      <c r="E38" s="294">
        <v>2</v>
      </c>
      <c r="F38" s="250">
        <f ca="1">VLOOKUP($D38,Data!$C:$I,7,FALSE)</f>
        <v>0</v>
      </c>
      <c r="G38" s="296" t="str">
        <f t="shared" si="0"/>
        <v>ID.BE-42</v>
      </c>
      <c r="H38" s="296" t="str">
        <f t="shared" ca="1" si="1"/>
        <v>ID.BE-420</v>
      </c>
      <c r="J38" s="247"/>
      <c r="K38" s="272" t="s">
        <v>1258</v>
      </c>
      <c r="L38" s="273" t="s">
        <v>989</v>
      </c>
      <c r="M38" s="269">
        <f t="shared" ca="1" si="18"/>
        <v>0</v>
      </c>
      <c r="N38" s="270">
        <f t="shared" ca="1" si="19"/>
        <v>0</v>
      </c>
      <c r="O38" s="270">
        <f t="shared" si="14"/>
        <v>7</v>
      </c>
      <c r="P38" s="269">
        <f t="shared" ca="1" si="15"/>
        <v>0</v>
      </c>
      <c r="Q38" s="270">
        <f t="shared" ca="1" si="20"/>
        <v>0</v>
      </c>
      <c r="R38" s="270">
        <f t="shared" si="21"/>
        <v>3</v>
      </c>
      <c r="S38" s="269">
        <f t="shared" ca="1" si="16"/>
        <v>0</v>
      </c>
      <c r="T38" s="270">
        <f t="shared" ca="1" si="22"/>
        <v>0</v>
      </c>
      <c r="U38" s="270">
        <f t="shared" si="23"/>
        <v>2</v>
      </c>
      <c r="V38" s="269">
        <f t="shared" ca="1" si="17"/>
        <v>0</v>
      </c>
      <c r="W38" s="270">
        <f t="shared" ca="1" si="24"/>
        <v>0</v>
      </c>
      <c r="X38" s="270">
        <f t="shared" si="25"/>
        <v>2</v>
      </c>
      <c r="Y38" s="247"/>
    </row>
    <row r="39" spans="1:25" ht="14" x14ac:dyDescent="0.3">
      <c r="A39" s="293">
        <v>40</v>
      </c>
      <c r="B39" s="293" t="s">
        <v>984</v>
      </c>
      <c r="C39" s="294" t="s">
        <v>1018</v>
      </c>
      <c r="D39" s="294" t="s">
        <v>95</v>
      </c>
      <c r="E39" s="294">
        <v>2</v>
      </c>
      <c r="F39" s="250">
        <f ca="1">VLOOKUP($D39,Data!$C:$I,7,FALSE)</f>
        <v>0</v>
      </c>
      <c r="G39" s="296" t="str">
        <f t="shared" si="0"/>
        <v>ID.BE-42</v>
      </c>
      <c r="H39" s="296" t="str">
        <f t="shared" ca="1" si="1"/>
        <v>ID.BE-420</v>
      </c>
      <c r="J39" s="247"/>
      <c r="K39" s="272"/>
      <c r="L39" s="273" t="s">
        <v>990</v>
      </c>
      <c r="M39" s="269">
        <f t="shared" ca="1" si="18"/>
        <v>0</v>
      </c>
      <c r="N39" s="270">
        <f t="shared" ca="1" si="19"/>
        <v>0</v>
      </c>
      <c r="O39" s="270">
        <f t="shared" si="14"/>
        <v>6</v>
      </c>
      <c r="P39" s="269">
        <f t="shared" ca="1" si="15"/>
        <v>0</v>
      </c>
      <c r="Q39" s="270">
        <f t="shared" ca="1" si="20"/>
        <v>0</v>
      </c>
      <c r="R39" s="270">
        <f t="shared" si="21"/>
        <v>2</v>
      </c>
      <c r="S39" s="269">
        <f t="shared" ca="1" si="16"/>
        <v>0</v>
      </c>
      <c r="T39" s="270">
        <f t="shared" ca="1" si="22"/>
        <v>0</v>
      </c>
      <c r="U39" s="270">
        <f t="shared" si="23"/>
        <v>2</v>
      </c>
      <c r="V39" s="269">
        <f t="shared" ca="1" si="17"/>
        <v>0</v>
      </c>
      <c r="W39" s="270">
        <f t="shared" ca="1" si="24"/>
        <v>0</v>
      </c>
      <c r="X39" s="270">
        <f t="shared" si="25"/>
        <v>2</v>
      </c>
      <c r="Y39" s="247"/>
    </row>
    <row r="40" spans="1:25" ht="14" x14ac:dyDescent="0.3">
      <c r="A40" s="293">
        <v>41</v>
      </c>
      <c r="B40" s="293" t="s">
        <v>984</v>
      </c>
      <c r="C40" s="294" t="s">
        <v>1014</v>
      </c>
      <c r="D40" s="294" t="s">
        <v>292</v>
      </c>
      <c r="E40" s="294">
        <v>2</v>
      </c>
      <c r="F40" s="250">
        <f ca="1">VLOOKUP($D40,Data!$C:$I,7,FALSE)</f>
        <v>0</v>
      </c>
      <c r="G40" s="296" t="str">
        <f t="shared" si="0"/>
        <v>ID.BE-42</v>
      </c>
      <c r="H40" s="296" t="str">
        <f t="shared" ca="1" si="1"/>
        <v>ID.BE-420</v>
      </c>
      <c r="J40" s="247"/>
      <c r="K40" s="272"/>
      <c r="L40" s="273" t="s">
        <v>991</v>
      </c>
      <c r="M40" s="269">
        <f t="shared" ca="1" si="18"/>
        <v>0</v>
      </c>
      <c r="N40" s="270">
        <f t="shared" ca="1" si="19"/>
        <v>0</v>
      </c>
      <c r="O40" s="270">
        <f t="shared" si="14"/>
        <v>6</v>
      </c>
      <c r="P40" s="269">
        <f t="shared" ca="1" si="15"/>
        <v>0</v>
      </c>
      <c r="Q40" s="270">
        <f t="shared" ca="1" si="20"/>
        <v>0</v>
      </c>
      <c r="R40" s="270">
        <f t="shared" si="21"/>
        <v>2</v>
      </c>
      <c r="S40" s="269">
        <f t="shared" ca="1" si="16"/>
        <v>0</v>
      </c>
      <c r="T40" s="270">
        <f t="shared" ca="1" si="22"/>
        <v>0</v>
      </c>
      <c r="U40" s="270">
        <f t="shared" si="23"/>
        <v>2</v>
      </c>
      <c r="V40" s="269">
        <f t="shared" ca="1" si="17"/>
        <v>0</v>
      </c>
      <c r="W40" s="270">
        <f t="shared" ca="1" si="24"/>
        <v>0</v>
      </c>
      <c r="X40" s="270">
        <f t="shared" si="25"/>
        <v>2</v>
      </c>
      <c r="Y40" s="247"/>
    </row>
    <row r="41" spans="1:25" ht="14" x14ac:dyDescent="0.3">
      <c r="A41" s="293">
        <v>42</v>
      </c>
      <c r="B41" s="293" t="s">
        <v>984</v>
      </c>
      <c r="C41" s="294" t="s">
        <v>1015</v>
      </c>
      <c r="D41" s="294" t="s">
        <v>294</v>
      </c>
      <c r="E41" s="294">
        <v>2</v>
      </c>
      <c r="F41" s="250">
        <f ca="1">VLOOKUP($D41,Data!$C:$I,7,FALSE)</f>
        <v>0</v>
      </c>
      <c r="G41" s="296" t="str">
        <f t="shared" si="0"/>
        <v>ID.BE-42</v>
      </c>
      <c r="H41" s="296" t="str">
        <f t="shared" ca="1" si="1"/>
        <v>ID.BE-420</v>
      </c>
      <c r="J41" s="247"/>
      <c r="K41" s="272"/>
      <c r="L41" s="273" t="s">
        <v>992</v>
      </c>
      <c r="M41" s="269">
        <f t="shared" ca="1" si="18"/>
        <v>0</v>
      </c>
      <c r="N41" s="270">
        <f t="shared" ca="1" si="19"/>
        <v>0</v>
      </c>
      <c r="O41" s="270">
        <f t="shared" si="14"/>
        <v>6</v>
      </c>
      <c r="P41" s="269">
        <f t="shared" ca="1" si="15"/>
        <v>0</v>
      </c>
      <c r="Q41" s="270">
        <f t="shared" ca="1" si="20"/>
        <v>0</v>
      </c>
      <c r="R41" s="270">
        <f t="shared" si="21"/>
        <v>2</v>
      </c>
      <c r="S41" s="269">
        <f t="shared" ca="1" si="16"/>
        <v>0</v>
      </c>
      <c r="T41" s="270">
        <f t="shared" ca="1" si="22"/>
        <v>0</v>
      </c>
      <c r="U41" s="270">
        <f t="shared" si="23"/>
        <v>2</v>
      </c>
      <c r="V41" s="269">
        <f t="shared" ca="1" si="17"/>
        <v>0</v>
      </c>
      <c r="W41" s="270">
        <f t="shared" ca="1" si="24"/>
        <v>0</v>
      </c>
      <c r="X41" s="270">
        <f t="shared" si="25"/>
        <v>2</v>
      </c>
      <c r="Y41" s="247"/>
    </row>
    <row r="42" spans="1:25" ht="14" x14ac:dyDescent="0.3">
      <c r="A42" s="293">
        <v>43</v>
      </c>
      <c r="B42" s="293" t="s">
        <v>984</v>
      </c>
      <c r="C42" s="294" t="s">
        <v>1008</v>
      </c>
      <c r="D42" s="294" t="s">
        <v>97</v>
      </c>
      <c r="E42" s="294">
        <v>3</v>
      </c>
      <c r="F42" s="250">
        <f ca="1">VLOOKUP($D42,Data!$C:$I,7,FALSE)</f>
        <v>0</v>
      </c>
      <c r="G42" s="296" t="str">
        <f t="shared" si="0"/>
        <v>ID.BE-43</v>
      </c>
      <c r="H42" s="296" t="str">
        <f t="shared" ca="1" si="1"/>
        <v>ID.BE-430</v>
      </c>
      <c r="J42" s="247"/>
      <c r="K42" s="272"/>
      <c r="L42" s="273" t="s">
        <v>993</v>
      </c>
      <c r="M42" s="269">
        <f t="shared" ca="1" si="18"/>
        <v>0</v>
      </c>
      <c r="N42" s="270">
        <f t="shared" ca="1" si="19"/>
        <v>0</v>
      </c>
      <c r="O42" s="270">
        <f t="shared" si="14"/>
        <v>6</v>
      </c>
      <c r="P42" s="269">
        <f t="shared" ca="1" si="15"/>
        <v>0</v>
      </c>
      <c r="Q42" s="270">
        <f t="shared" ca="1" si="20"/>
        <v>0</v>
      </c>
      <c r="R42" s="270">
        <f t="shared" si="21"/>
        <v>2</v>
      </c>
      <c r="S42" s="269">
        <f t="shared" ca="1" si="16"/>
        <v>0</v>
      </c>
      <c r="T42" s="270">
        <f t="shared" ca="1" si="22"/>
        <v>0</v>
      </c>
      <c r="U42" s="270">
        <f t="shared" si="23"/>
        <v>2</v>
      </c>
      <c r="V42" s="269">
        <f t="shared" ca="1" si="17"/>
        <v>0</v>
      </c>
      <c r="W42" s="270">
        <f t="shared" ca="1" si="24"/>
        <v>0</v>
      </c>
      <c r="X42" s="270">
        <f t="shared" si="25"/>
        <v>2</v>
      </c>
      <c r="Y42" s="247"/>
    </row>
    <row r="43" spans="1:25" ht="14" x14ac:dyDescent="0.3">
      <c r="A43" s="293">
        <v>44</v>
      </c>
      <c r="B43" s="293" t="s">
        <v>984</v>
      </c>
      <c r="C43" s="294" t="s">
        <v>1009</v>
      </c>
      <c r="D43" s="294" t="s">
        <v>99</v>
      </c>
      <c r="E43" s="294">
        <v>3</v>
      </c>
      <c r="F43" s="250">
        <f ca="1">VLOOKUP($D43,Data!$C:$I,7,FALSE)</f>
        <v>0</v>
      </c>
      <c r="G43" s="296" t="str">
        <f t="shared" si="0"/>
        <v>ID.BE-43</v>
      </c>
      <c r="H43" s="296" t="str">
        <f t="shared" ca="1" si="1"/>
        <v>ID.BE-430</v>
      </c>
      <c r="J43" s="247"/>
      <c r="K43" s="272" t="s">
        <v>1259</v>
      </c>
      <c r="L43" s="273" t="s">
        <v>1127</v>
      </c>
      <c r="M43" s="269">
        <f t="shared" ca="1" si="18"/>
        <v>0</v>
      </c>
      <c r="N43" s="270">
        <f t="shared" ca="1" si="19"/>
        <v>0</v>
      </c>
      <c r="O43" s="270">
        <f t="shared" si="14"/>
        <v>6</v>
      </c>
      <c r="P43" s="269">
        <f t="shared" ca="1" si="15"/>
        <v>0</v>
      </c>
      <c r="Q43" s="270">
        <f t="shared" ca="1" si="20"/>
        <v>0</v>
      </c>
      <c r="R43" s="270">
        <f t="shared" si="21"/>
        <v>3</v>
      </c>
      <c r="S43" s="269">
        <f t="shared" ca="1" si="16"/>
        <v>0</v>
      </c>
      <c r="T43" s="270">
        <f t="shared" ca="1" si="22"/>
        <v>0</v>
      </c>
      <c r="U43" s="270">
        <f t="shared" si="23"/>
        <v>2</v>
      </c>
      <c r="V43" s="269">
        <f t="shared" ca="1" si="17"/>
        <v>0</v>
      </c>
      <c r="W43" s="270">
        <f t="shared" ca="1" si="24"/>
        <v>0</v>
      </c>
      <c r="X43" s="270">
        <f t="shared" si="25"/>
        <v>1</v>
      </c>
      <c r="Y43" s="247"/>
    </row>
    <row r="44" spans="1:25" ht="14" x14ac:dyDescent="0.3">
      <c r="A44" s="293">
        <v>45</v>
      </c>
      <c r="B44" s="293" t="s">
        <v>984</v>
      </c>
      <c r="C44" s="294" t="s">
        <v>1017</v>
      </c>
      <c r="D44" s="294" t="s">
        <v>65</v>
      </c>
      <c r="E44" s="294">
        <v>2</v>
      </c>
      <c r="F44" s="250">
        <f ca="1">VLOOKUP($D44,Data!$C:$I,7,FALSE)</f>
        <v>0</v>
      </c>
      <c r="G44" s="296" t="str">
        <f t="shared" si="0"/>
        <v>ID.BE-42</v>
      </c>
      <c r="H44" s="296" t="str">
        <f t="shared" ca="1" si="1"/>
        <v>ID.BE-420</v>
      </c>
      <c r="J44" s="247"/>
      <c r="K44" s="272"/>
      <c r="L44" s="273" t="s">
        <v>1130</v>
      </c>
      <c r="M44" s="269">
        <f t="shared" ca="1" si="18"/>
        <v>0</v>
      </c>
      <c r="N44" s="270">
        <f t="shared" ca="1" si="19"/>
        <v>0</v>
      </c>
      <c r="O44" s="270">
        <f t="shared" si="14"/>
        <v>6</v>
      </c>
      <c r="P44" s="269">
        <f t="shared" ca="1" si="15"/>
        <v>0</v>
      </c>
      <c r="Q44" s="270">
        <f t="shared" ca="1" si="20"/>
        <v>0</v>
      </c>
      <c r="R44" s="270">
        <f t="shared" si="21"/>
        <v>3</v>
      </c>
      <c r="S44" s="269">
        <f t="shared" ca="1" si="16"/>
        <v>0</v>
      </c>
      <c r="T44" s="270">
        <f t="shared" ca="1" si="22"/>
        <v>0</v>
      </c>
      <c r="U44" s="270">
        <f t="shared" si="23"/>
        <v>2</v>
      </c>
      <c r="V44" s="269">
        <f t="shared" ca="1" si="17"/>
        <v>0</v>
      </c>
      <c r="W44" s="270">
        <f t="shared" ca="1" si="24"/>
        <v>0</v>
      </c>
      <c r="X44" s="270">
        <f t="shared" si="25"/>
        <v>1</v>
      </c>
      <c r="Y44" s="247"/>
    </row>
    <row r="45" spans="1:25" ht="14" x14ac:dyDescent="0.3">
      <c r="A45" s="293">
        <v>46</v>
      </c>
      <c r="B45" s="293" t="s">
        <v>984</v>
      </c>
      <c r="C45" s="294" t="s">
        <v>1016</v>
      </c>
      <c r="D45" s="294" t="s">
        <v>296</v>
      </c>
      <c r="E45" s="294">
        <v>3</v>
      </c>
      <c r="F45" s="250">
        <f ca="1">VLOOKUP($D45,Data!$C:$I,7,FALSE)</f>
        <v>0</v>
      </c>
      <c r="G45" s="296" t="str">
        <f t="shared" si="0"/>
        <v>ID.BE-43</v>
      </c>
      <c r="H45" s="296" t="str">
        <f t="shared" ca="1" si="1"/>
        <v>ID.BE-430</v>
      </c>
      <c r="J45" s="247"/>
      <c r="K45" s="272"/>
      <c r="L45" s="273" t="s">
        <v>994</v>
      </c>
      <c r="M45" s="269">
        <f t="shared" ca="1" si="18"/>
        <v>0</v>
      </c>
      <c r="N45" s="270">
        <f t="shared" ca="1" si="19"/>
        <v>0</v>
      </c>
      <c r="O45" s="270">
        <f t="shared" si="14"/>
        <v>8</v>
      </c>
      <c r="P45" s="269">
        <f t="shared" ca="1" si="15"/>
        <v>0</v>
      </c>
      <c r="Q45" s="270">
        <f t="shared" ca="1" si="20"/>
        <v>0</v>
      </c>
      <c r="R45" s="270">
        <f t="shared" si="21"/>
        <v>2</v>
      </c>
      <c r="S45" s="269">
        <f t="shared" ca="1" si="16"/>
        <v>0</v>
      </c>
      <c r="T45" s="270">
        <f t="shared" ca="1" si="22"/>
        <v>0</v>
      </c>
      <c r="U45" s="270">
        <f t="shared" si="23"/>
        <v>4</v>
      </c>
      <c r="V45" s="269">
        <f t="shared" ca="1" si="17"/>
        <v>0</v>
      </c>
      <c r="W45" s="270">
        <f t="shared" ca="1" si="24"/>
        <v>0</v>
      </c>
      <c r="X45" s="270">
        <f t="shared" si="25"/>
        <v>2</v>
      </c>
      <c r="Y45" s="247"/>
    </row>
    <row r="46" spans="1:25" ht="14" x14ac:dyDescent="0.3">
      <c r="A46" s="293">
        <v>47</v>
      </c>
      <c r="B46" s="293" t="s">
        <v>1030</v>
      </c>
      <c r="C46" s="294" t="s">
        <v>1031</v>
      </c>
      <c r="D46" s="294" t="s">
        <v>406</v>
      </c>
      <c r="E46" s="294">
        <v>2</v>
      </c>
      <c r="F46" s="250">
        <f ca="1">VLOOKUP($D46,Data!$C:$I,7,FALSE)</f>
        <v>0</v>
      </c>
      <c r="G46" s="296" t="str">
        <f t="shared" si="0"/>
        <v>ID.BE-52</v>
      </c>
      <c r="H46" s="296" t="str">
        <f t="shared" ca="1" si="1"/>
        <v>ID.BE-520</v>
      </c>
      <c r="K46" s="249"/>
      <c r="L46" s="36" t="s">
        <v>1139</v>
      </c>
      <c r="M46" s="37">
        <f t="shared" ca="1" si="18"/>
        <v>0</v>
      </c>
      <c r="N46" s="39">
        <f t="shared" ca="1" si="19"/>
        <v>0</v>
      </c>
      <c r="O46" s="39">
        <f t="shared" si="14"/>
        <v>5</v>
      </c>
      <c r="P46" s="37">
        <f t="shared" ca="1" si="15"/>
        <v>0</v>
      </c>
      <c r="Q46" s="39">
        <f t="shared" ca="1" si="20"/>
        <v>0</v>
      </c>
      <c r="R46" s="39">
        <f t="shared" si="21"/>
        <v>2</v>
      </c>
      <c r="S46" s="37">
        <f t="shared" ca="1" si="16"/>
        <v>0</v>
      </c>
      <c r="T46" s="39">
        <f t="shared" ca="1" si="22"/>
        <v>0</v>
      </c>
      <c r="U46" s="39">
        <f t="shared" si="23"/>
        <v>2</v>
      </c>
      <c r="V46" s="37">
        <f t="shared" ca="1" si="17"/>
        <v>0</v>
      </c>
      <c r="W46" s="39">
        <f t="shared" ca="1" si="24"/>
        <v>0</v>
      </c>
      <c r="X46" s="39">
        <f t="shared" si="25"/>
        <v>1</v>
      </c>
    </row>
    <row r="47" spans="1:25" ht="14" x14ac:dyDescent="0.3">
      <c r="A47" s="293">
        <v>48</v>
      </c>
      <c r="B47" s="293" t="s">
        <v>1030</v>
      </c>
      <c r="C47" s="294" t="s">
        <v>1032</v>
      </c>
      <c r="D47" s="294" t="s">
        <v>406</v>
      </c>
      <c r="E47" s="294">
        <v>2</v>
      </c>
      <c r="F47" s="250">
        <f ca="1">VLOOKUP($D47,Data!$C:$I,7,FALSE)</f>
        <v>0</v>
      </c>
      <c r="G47" s="296" t="str">
        <f t="shared" si="0"/>
        <v>ID.BE-52</v>
      </c>
      <c r="H47" s="296" t="str">
        <f t="shared" ca="1" si="1"/>
        <v>ID.BE-520</v>
      </c>
      <c r="K47" s="249"/>
      <c r="L47" s="36" t="s">
        <v>1140</v>
      </c>
      <c r="M47" s="37">
        <f t="shared" ca="1" si="18"/>
        <v>0</v>
      </c>
      <c r="N47" s="39">
        <f t="shared" ca="1" si="19"/>
        <v>0</v>
      </c>
      <c r="O47" s="39">
        <f t="shared" si="14"/>
        <v>10</v>
      </c>
      <c r="P47" s="37">
        <f t="shared" ca="1" si="15"/>
        <v>0</v>
      </c>
      <c r="Q47" s="39">
        <f t="shared" ca="1" si="20"/>
        <v>0</v>
      </c>
      <c r="R47" s="39">
        <f t="shared" si="21"/>
        <v>4</v>
      </c>
      <c r="S47" s="37">
        <f t="shared" ca="1" si="16"/>
        <v>0</v>
      </c>
      <c r="T47" s="39">
        <f t="shared" ca="1" si="22"/>
        <v>0</v>
      </c>
      <c r="U47" s="39">
        <f t="shared" si="23"/>
        <v>3</v>
      </c>
      <c r="V47" s="37">
        <f t="shared" ca="1" si="17"/>
        <v>0</v>
      </c>
      <c r="W47" s="39">
        <f t="shared" ca="1" si="24"/>
        <v>0</v>
      </c>
      <c r="X47" s="39">
        <f t="shared" si="25"/>
        <v>3</v>
      </c>
    </row>
    <row r="48" spans="1:25" ht="14" x14ac:dyDescent="0.3">
      <c r="A48" s="293">
        <v>49</v>
      </c>
      <c r="B48" s="293" t="s">
        <v>1030</v>
      </c>
      <c r="C48" s="294" t="s">
        <v>1033</v>
      </c>
      <c r="D48" s="294" t="s">
        <v>403</v>
      </c>
      <c r="E48" s="294">
        <v>1</v>
      </c>
      <c r="F48" s="250">
        <f ca="1">VLOOKUP($D48,Data!$C:$I,7,FALSE)</f>
        <v>0</v>
      </c>
      <c r="G48" s="296" t="str">
        <f t="shared" si="0"/>
        <v>ID.BE-51</v>
      </c>
      <c r="H48" s="296" t="str">
        <f t="shared" ca="1" si="1"/>
        <v>ID.BE-510</v>
      </c>
      <c r="K48" s="249"/>
      <c r="L48" s="36" t="s">
        <v>1142</v>
      </c>
      <c r="M48" s="37">
        <f t="shared" ca="1" si="18"/>
        <v>0</v>
      </c>
      <c r="N48" s="39">
        <f t="shared" ca="1" si="19"/>
        <v>0</v>
      </c>
      <c r="O48" s="39">
        <f t="shared" si="14"/>
        <v>4</v>
      </c>
      <c r="P48" s="37">
        <f t="shared" si="15"/>
        <v>0</v>
      </c>
      <c r="Q48" s="39">
        <f t="shared" ca="1" si="20"/>
        <v>0</v>
      </c>
      <c r="R48" s="39">
        <f t="shared" si="21"/>
        <v>0</v>
      </c>
      <c r="S48" s="37">
        <f t="shared" ca="1" si="16"/>
        <v>0</v>
      </c>
      <c r="T48" s="39">
        <f t="shared" ca="1" si="22"/>
        <v>0</v>
      </c>
      <c r="U48" s="39">
        <f t="shared" si="23"/>
        <v>1</v>
      </c>
      <c r="V48" s="37">
        <f t="shared" ca="1" si="17"/>
        <v>0</v>
      </c>
      <c r="W48" s="39">
        <f t="shared" ca="1" si="24"/>
        <v>0</v>
      </c>
      <c r="X48" s="39">
        <f t="shared" si="25"/>
        <v>3</v>
      </c>
    </row>
    <row r="49" spans="1:24" ht="14" x14ac:dyDescent="0.3">
      <c r="A49" s="293">
        <v>50</v>
      </c>
      <c r="B49" s="293" t="s">
        <v>1030</v>
      </c>
      <c r="C49" s="294" t="s">
        <v>1034</v>
      </c>
      <c r="D49" s="294" t="s">
        <v>409</v>
      </c>
      <c r="E49" s="294">
        <v>2</v>
      </c>
      <c r="F49" s="250">
        <f ca="1">VLOOKUP($D49,Data!$C:$I,7,FALSE)</f>
        <v>0</v>
      </c>
      <c r="G49" s="296" t="str">
        <f t="shared" si="0"/>
        <v>ID.BE-52</v>
      </c>
      <c r="H49" s="296" t="str">
        <f t="shared" ca="1" si="1"/>
        <v>ID.BE-520</v>
      </c>
      <c r="K49" s="249"/>
      <c r="L49" s="36" t="s">
        <v>1145</v>
      </c>
      <c r="M49" s="37">
        <f t="shared" ca="1" si="18"/>
        <v>0</v>
      </c>
      <c r="N49" s="39">
        <f t="shared" ca="1" si="19"/>
        <v>0</v>
      </c>
      <c r="O49" s="39">
        <f t="shared" si="14"/>
        <v>2</v>
      </c>
      <c r="P49" s="37">
        <f t="shared" si="15"/>
        <v>0</v>
      </c>
      <c r="Q49" s="39">
        <f t="shared" ca="1" si="20"/>
        <v>0</v>
      </c>
      <c r="R49" s="39">
        <f t="shared" si="21"/>
        <v>0</v>
      </c>
      <c r="S49" s="37">
        <f t="shared" ca="1" si="16"/>
        <v>0</v>
      </c>
      <c r="T49" s="39">
        <f t="shared" ca="1" si="22"/>
        <v>0</v>
      </c>
      <c r="U49" s="39">
        <f t="shared" si="23"/>
        <v>1</v>
      </c>
      <c r="V49" s="37">
        <f t="shared" ca="1" si="17"/>
        <v>0</v>
      </c>
      <c r="W49" s="39">
        <f t="shared" ca="1" si="24"/>
        <v>0</v>
      </c>
      <c r="X49" s="39">
        <f t="shared" si="25"/>
        <v>1</v>
      </c>
    </row>
    <row r="50" spans="1:24" ht="14" x14ac:dyDescent="0.3">
      <c r="A50" s="293">
        <v>51</v>
      </c>
      <c r="B50" s="293" t="s">
        <v>1035</v>
      </c>
      <c r="C50" s="294" t="s">
        <v>1036</v>
      </c>
      <c r="D50" s="294" t="s">
        <v>396</v>
      </c>
      <c r="E50" s="294">
        <v>2</v>
      </c>
      <c r="F50" s="250">
        <f ca="1">VLOOKUP($D50,Data!$C:$I,7,FALSE)</f>
        <v>0</v>
      </c>
      <c r="G50" s="296" t="str">
        <f t="shared" si="0"/>
        <v>ID.GV-12</v>
      </c>
      <c r="H50" s="296" t="str">
        <f t="shared" ca="1" si="1"/>
        <v>ID.GV-120</v>
      </c>
      <c r="K50" s="249"/>
      <c r="L50" s="36" t="s">
        <v>1260</v>
      </c>
      <c r="M50" s="37">
        <f t="shared" si="18"/>
        <v>0</v>
      </c>
      <c r="N50" s="39">
        <f t="shared" ca="1" si="19"/>
        <v>0</v>
      </c>
      <c r="O50" s="39">
        <f t="shared" si="14"/>
        <v>0</v>
      </c>
      <c r="P50" s="37">
        <f t="shared" si="15"/>
        <v>0</v>
      </c>
      <c r="Q50" s="39">
        <f t="shared" ca="1" si="20"/>
        <v>0</v>
      </c>
      <c r="R50" s="39">
        <f t="shared" si="21"/>
        <v>0</v>
      </c>
      <c r="S50" s="37">
        <f t="shared" si="16"/>
        <v>0</v>
      </c>
      <c r="T50" s="39">
        <f t="shared" ca="1" si="22"/>
        <v>0</v>
      </c>
      <c r="U50" s="39">
        <f t="shared" si="23"/>
        <v>0</v>
      </c>
      <c r="V50" s="37">
        <f t="shared" si="17"/>
        <v>0</v>
      </c>
      <c r="W50" s="39">
        <f t="shared" ca="1" si="24"/>
        <v>0</v>
      </c>
      <c r="X50" s="39">
        <f t="shared" si="25"/>
        <v>0</v>
      </c>
    </row>
    <row r="51" spans="1:24" ht="14" x14ac:dyDescent="0.3">
      <c r="A51" s="293">
        <v>52</v>
      </c>
      <c r="B51" s="293" t="s">
        <v>1035</v>
      </c>
      <c r="C51" s="294" t="s">
        <v>1037</v>
      </c>
      <c r="D51" s="294" t="s">
        <v>423</v>
      </c>
      <c r="E51" s="294">
        <v>3</v>
      </c>
      <c r="F51" s="250">
        <f ca="1">VLOOKUP($D51,Data!$C:$I,7,FALSE)</f>
        <v>0</v>
      </c>
      <c r="G51" s="296" t="str">
        <f t="shared" si="0"/>
        <v>ID.GV-13</v>
      </c>
      <c r="H51" s="296" t="str">
        <f t="shared" ca="1" si="1"/>
        <v>ID.GV-130</v>
      </c>
      <c r="K51" s="249" t="s">
        <v>1261</v>
      </c>
      <c r="L51" s="36" t="s">
        <v>1152</v>
      </c>
      <c r="M51" s="37">
        <f t="shared" ca="1" si="18"/>
        <v>0</v>
      </c>
      <c r="N51" s="39">
        <f t="shared" ca="1" si="19"/>
        <v>0</v>
      </c>
      <c r="O51" s="39">
        <f t="shared" si="14"/>
        <v>6</v>
      </c>
      <c r="P51" s="37">
        <f t="shared" ca="1" si="15"/>
        <v>0</v>
      </c>
      <c r="Q51" s="39">
        <f t="shared" ca="1" si="20"/>
        <v>0</v>
      </c>
      <c r="R51" s="39">
        <f t="shared" si="21"/>
        <v>2</v>
      </c>
      <c r="S51" s="37">
        <f t="shared" ca="1" si="16"/>
        <v>0</v>
      </c>
      <c r="T51" s="39">
        <f t="shared" ca="1" si="22"/>
        <v>0</v>
      </c>
      <c r="U51" s="39">
        <f t="shared" si="23"/>
        <v>1</v>
      </c>
      <c r="V51" s="37">
        <f t="shared" ca="1" si="17"/>
        <v>0</v>
      </c>
      <c r="W51" s="39">
        <f t="shared" ca="1" si="24"/>
        <v>0</v>
      </c>
      <c r="X51" s="39">
        <f t="shared" si="25"/>
        <v>3</v>
      </c>
    </row>
    <row r="52" spans="1:24" ht="14" x14ac:dyDescent="0.3">
      <c r="A52" s="293">
        <v>53</v>
      </c>
      <c r="B52" s="293" t="s">
        <v>1035</v>
      </c>
      <c r="C52" s="294" t="s">
        <v>1038</v>
      </c>
      <c r="D52" s="294" t="s">
        <v>86</v>
      </c>
      <c r="E52" s="294">
        <v>3</v>
      </c>
      <c r="F52" s="250">
        <f ca="1">VLOOKUP($D52,Data!$C:$I,7,FALSE)</f>
        <v>0</v>
      </c>
      <c r="G52" s="296" t="str">
        <f t="shared" si="0"/>
        <v>ID.GV-13</v>
      </c>
      <c r="H52" s="296" t="str">
        <f t="shared" ca="1" si="1"/>
        <v>ID.GV-130</v>
      </c>
      <c r="K52" s="249"/>
      <c r="L52" s="36" t="s">
        <v>1155</v>
      </c>
      <c r="M52" s="37">
        <f t="shared" ca="1" si="18"/>
        <v>0</v>
      </c>
      <c r="N52" s="39">
        <f t="shared" ca="1" si="19"/>
        <v>0</v>
      </c>
      <c r="O52" s="39">
        <f t="shared" si="14"/>
        <v>1</v>
      </c>
      <c r="P52" s="37">
        <f t="shared" si="15"/>
        <v>0</v>
      </c>
      <c r="Q52" s="39">
        <f t="shared" ca="1" si="20"/>
        <v>0</v>
      </c>
      <c r="R52" s="39">
        <f t="shared" si="21"/>
        <v>0</v>
      </c>
      <c r="S52" s="37">
        <f t="shared" ca="1" si="16"/>
        <v>0</v>
      </c>
      <c r="T52" s="39">
        <f t="shared" ca="1" si="22"/>
        <v>0</v>
      </c>
      <c r="U52" s="39">
        <f t="shared" si="23"/>
        <v>1</v>
      </c>
      <c r="V52" s="37">
        <f t="shared" si="17"/>
        <v>0</v>
      </c>
      <c r="W52" s="39">
        <f t="shared" ca="1" si="24"/>
        <v>0</v>
      </c>
      <c r="X52" s="39">
        <f t="shared" si="25"/>
        <v>0</v>
      </c>
    </row>
    <row r="53" spans="1:24" ht="14" x14ac:dyDescent="0.3">
      <c r="A53" s="293">
        <v>54</v>
      </c>
      <c r="B53" s="293" t="s">
        <v>985</v>
      </c>
      <c r="C53" s="294" t="s">
        <v>1020</v>
      </c>
      <c r="D53" s="294" t="s">
        <v>319</v>
      </c>
      <c r="E53" s="294">
        <v>1</v>
      </c>
      <c r="F53" s="250">
        <f ca="1">VLOOKUP($D53,Data!$C:$I,7,FALSE)</f>
        <v>0</v>
      </c>
      <c r="G53" s="296" t="str">
        <f t="shared" si="0"/>
        <v>ID.GV-21</v>
      </c>
      <c r="H53" s="296" t="str">
        <f t="shared" ca="1" si="1"/>
        <v>ID.GV-210</v>
      </c>
      <c r="K53" s="249"/>
      <c r="L53" s="36" t="s">
        <v>1156</v>
      </c>
      <c r="M53" s="37">
        <f t="shared" ca="1" si="18"/>
        <v>0</v>
      </c>
      <c r="N53" s="39">
        <f t="shared" ca="1" si="19"/>
        <v>0</v>
      </c>
      <c r="O53" s="39">
        <f t="shared" si="14"/>
        <v>9</v>
      </c>
      <c r="P53" s="37">
        <f t="shared" ca="1" si="15"/>
        <v>0</v>
      </c>
      <c r="Q53" s="39">
        <f t="shared" ca="1" si="20"/>
        <v>0</v>
      </c>
      <c r="R53" s="39">
        <f t="shared" si="21"/>
        <v>2</v>
      </c>
      <c r="S53" s="37">
        <f t="shared" ca="1" si="16"/>
        <v>0</v>
      </c>
      <c r="T53" s="39">
        <f t="shared" ca="1" si="22"/>
        <v>0</v>
      </c>
      <c r="U53" s="39">
        <f t="shared" si="23"/>
        <v>3</v>
      </c>
      <c r="V53" s="37">
        <f t="shared" ca="1" si="17"/>
        <v>0</v>
      </c>
      <c r="W53" s="39">
        <f t="shared" ca="1" si="24"/>
        <v>0</v>
      </c>
      <c r="X53" s="39">
        <f t="shared" si="25"/>
        <v>4</v>
      </c>
    </row>
    <row r="54" spans="1:24" ht="14" x14ac:dyDescent="0.3">
      <c r="A54" s="293">
        <v>55</v>
      </c>
      <c r="B54" s="293" t="s">
        <v>985</v>
      </c>
      <c r="C54" s="294" t="s">
        <v>1021</v>
      </c>
      <c r="D54" s="294" t="s">
        <v>320</v>
      </c>
      <c r="E54" s="294">
        <v>1</v>
      </c>
      <c r="F54" s="250">
        <f ca="1">VLOOKUP($D54,Data!$C:$I,7,FALSE)</f>
        <v>0</v>
      </c>
      <c r="G54" s="296" t="str">
        <f t="shared" si="0"/>
        <v>ID.GV-21</v>
      </c>
      <c r="H54" s="296" t="str">
        <f t="shared" ca="1" si="1"/>
        <v>ID.GV-210</v>
      </c>
      <c r="K54" s="249"/>
      <c r="L54" s="36" t="s">
        <v>1157</v>
      </c>
      <c r="M54" s="37">
        <f t="shared" ca="1" si="18"/>
        <v>0</v>
      </c>
      <c r="N54" s="39">
        <f t="shared" ca="1" si="19"/>
        <v>0</v>
      </c>
      <c r="O54" s="39">
        <f t="shared" si="14"/>
        <v>8</v>
      </c>
      <c r="P54" s="37">
        <f t="shared" ca="1" si="15"/>
        <v>0</v>
      </c>
      <c r="Q54" s="39">
        <f t="shared" ca="1" si="20"/>
        <v>0</v>
      </c>
      <c r="R54" s="39">
        <f t="shared" si="21"/>
        <v>1</v>
      </c>
      <c r="S54" s="37">
        <f t="shared" ca="1" si="16"/>
        <v>0</v>
      </c>
      <c r="T54" s="39">
        <f t="shared" ca="1" si="22"/>
        <v>0</v>
      </c>
      <c r="U54" s="39">
        <f t="shared" si="23"/>
        <v>5</v>
      </c>
      <c r="V54" s="37">
        <f t="shared" ca="1" si="17"/>
        <v>0</v>
      </c>
      <c r="W54" s="39">
        <f t="shared" ca="1" si="24"/>
        <v>0</v>
      </c>
      <c r="X54" s="39">
        <f t="shared" si="25"/>
        <v>2</v>
      </c>
    </row>
    <row r="55" spans="1:24" ht="14" x14ac:dyDescent="0.3">
      <c r="A55" s="293">
        <v>56</v>
      </c>
      <c r="B55" s="293" t="s">
        <v>985</v>
      </c>
      <c r="C55" s="294" t="s">
        <v>1022</v>
      </c>
      <c r="D55" s="294" t="s">
        <v>321</v>
      </c>
      <c r="E55" s="294">
        <v>2</v>
      </c>
      <c r="F55" s="250">
        <f ca="1">VLOOKUP($D55,Data!$C:$I,7,FALSE)</f>
        <v>0</v>
      </c>
      <c r="G55" s="296" t="str">
        <f t="shared" si="0"/>
        <v>ID.GV-22</v>
      </c>
      <c r="H55" s="296" t="str">
        <f t="shared" ca="1" si="1"/>
        <v>ID.GV-220</v>
      </c>
      <c r="K55" s="249"/>
      <c r="L55" s="36" t="s">
        <v>995</v>
      </c>
      <c r="M55" s="37">
        <f t="shared" ca="1" si="18"/>
        <v>0</v>
      </c>
      <c r="N55" s="39">
        <f t="shared" ca="1" si="19"/>
        <v>0</v>
      </c>
      <c r="O55" s="39">
        <f t="shared" si="14"/>
        <v>1</v>
      </c>
      <c r="P55" s="37">
        <f t="shared" si="15"/>
        <v>0</v>
      </c>
      <c r="Q55" s="39">
        <f t="shared" ca="1" si="20"/>
        <v>0</v>
      </c>
      <c r="R55" s="39">
        <f t="shared" si="21"/>
        <v>0</v>
      </c>
      <c r="S55" s="37">
        <f t="shared" si="16"/>
        <v>0</v>
      </c>
      <c r="T55" s="39">
        <f t="shared" ca="1" si="22"/>
        <v>0</v>
      </c>
      <c r="U55" s="39">
        <f t="shared" si="23"/>
        <v>0</v>
      </c>
      <c r="V55" s="37">
        <f t="shared" ca="1" si="17"/>
        <v>0</v>
      </c>
      <c r="W55" s="39">
        <f t="shared" ca="1" si="24"/>
        <v>0</v>
      </c>
      <c r="X55" s="39">
        <f t="shared" si="25"/>
        <v>1</v>
      </c>
    </row>
    <row r="56" spans="1:24" ht="14" x14ac:dyDescent="0.3">
      <c r="A56" s="293">
        <v>57</v>
      </c>
      <c r="B56" s="293" t="s">
        <v>985</v>
      </c>
      <c r="C56" s="294" t="s">
        <v>1039</v>
      </c>
      <c r="D56" s="294" t="s">
        <v>334</v>
      </c>
      <c r="E56" s="294">
        <v>2</v>
      </c>
      <c r="F56" s="250">
        <f ca="1">VLOOKUP($D56,Data!$C:$I,7,FALSE)</f>
        <v>0</v>
      </c>
      <c r="G56" s="296" t="str">
        <f t="shared" si="0"/>
        <v>ID.GV-22</v>
      </c>
      <c r="H56" s="296" t="str">
        <f t="shared" ca="1" si="1"/>
        <v>ID.GV-220</v>
      </c>
      <c r="K56" s="249"/>
      <c r="L56" s="36" t="s">
        <v>1158</v>
      </c>
      <c r="M56" s="37">
        <f t="shared" ca="1" si="18"/>
        <v>0</v>
      </c>
      <c r="N56" s="39">
        <f t="shared" ca="1" si="19"/>
        <v>0</v>
      </c>
      <c r="O56" s="39">
        <f t="shared" si="14"/>
        <v>1</v>
      </c>
      <c r="P56" s="37">
        <f t="shared" si="15"/>
        <v>0</v>
      </c>
      <c r="Q56" s="39">
        <f t="shared" ca="1" si="20"/>
        <v>0</v>
      </c>
      <c r="R56" s="39">
        <f t="shared" si="21"/>
        <v>0</v>
      </c>
      <c r="S56" s="37">
        <f t="shared" ca="1" si="16"/>
        <v>0</v>
      </c>
      <c r="T56" s="39">
        <f t="shared" ca="1" si="22"/>
        <v>0</v>
      </c>
      <c r="U56" s="39">
        <f t="shared" si="23"/>
        <v>1</v>
      </c>
      <c r="V56" s="37">
        <f t="shared" si="17"/>
        <v>0</v>
      </c>
      <c r="W56" s="39">
        <f t="shared" ca="1" si="24"/>
        <v>0</v>
      </c>
      <c r="X56" s="39">
        <f t="shared" si="25"/>
        <v>0</v>
      </c>
    </row>
    <row r="57" spans="1:24" ht="14" x14ac:dyDescent="0.3">
      <c r="A57" s="293">
        <v>60</v>
      </c>
      <c r="B57" s="293" t="s">
        <v>985</v>
      </c>
      <c r="C57" s="294" t="s">
        <v>1040</v>
      </c>
      <c r="D57" s="294" t="s">
        <v>323</v>
      </c>
      <c r="E57" s="294">
        <v>3</v>
      </c>
      <c r="F57" s="250">
        <f ca="1">VLOOKUP($D57,Data!$C:$I,7,FALSE)</f>
        <v>0</v>
      </c>
      <c r="G57" s="296" t="str">
        <f t="shared" si="0"/>
        <v>ID.GV-23</v>
      </c>
      <c r="H57" s="296" t="str">
        <f t="shared" ca="1" si="1"/>
        <v>ID.GV-230</v>
      </c>
      <c r="K57" s="249"/>
      <c r="L57" s="36" t="s">
        <v>1159</v>
      </c>
      <c r="M57" s="37">
        <f t="shared" ca="1" si="18"/>
        <v>0</v>
      </c>
      <c r="N57" s="39">
        <f t="shared" ca="1" si="19"/>
        <v>0</v>
      </c>
      <c r="O57" s="39">
        <f t="shared" si="14"/>
        <v>2</v>
      </c>
      <c r="P57" s="37">
        <f t="shared" si="15"/>
        <v>0</v>
      </c>
      <c r="Q57" s="39">
        <f t="shared" ca="1" si="20"/>
        <v>0</v>
      </c>
      <c r="R57" s="39">
        <f t="shared" si="21"/>
        <v>0</v>
      </c>
      <c r="S57" s="37">
        <f t="shared" si="16"/>
        <v>0</v>
      </c>
      <c r="T57" s="39">
        <f t="shared" ca="1" si="22"/>
        <v>0</v>
      </c>
      <c r="U57" s="39">
        <f t="shared" si="23"/>
        <v>0</v>
      </c>
      <c r="V57" s="37">
        <f t="shared" ca="1" si="17"/>
        <v>0</v>
      </c>
      <c r="W57" s="39">
        <f t="shared" ca="1" si="24"/>
        <v>0</v>
      </c>
      <c r="X57" s="39">
        <f t="shared" si="25"/>
        <v>2</v>
      </c>
    </row>
    <row r="58" spans="1:24" ht="14" x14ac:dyDescent="0.3">
      <c r="A58" s="293">
        <v>62</v>
      </c>
      <c r="B58" s="293" t="s">
        <v>985</v>
      </c>
      <c r="C58" s="294" t="s">
        <v>1041</v>
      </c>
      <c r="D58" s="294" t="s">
        <v>324</v>
      </c>
      <c r="E58" s="294">
        <v>3</v>
      </c>
      <c r="F58" s="250">
        <f ca="1">VLOOKUP($D58,Data!$C:$I,7,FALSE)</f>
        <v>0</v>
      </c>
      <c r="G58" s="296" t="str">
        <f t="shared" si="0"/>
        <v>ID.GV-23</v>
      </c>
      <c r="H58" s="296" t="str">
        <f t="shared" ca="1" si="1"/>
        <v>ID.GV-230</v>
      </c>
      <c r="K58" s="249"/>
      <c r="L58" s="36" t="s">
        <v>1161</v>
      </c>
      <c r="M58" s="37">
        <f t="shared" ca="1" si="18"/>
        <v>0</v>
      </c>
      <c r="N58" s="39">
        <f t="shared" ca="1" si="19"/>
        <v>0</v>
      </c>
      <c r="O58" s="39">
        <f t="shared" si="14"/>
        <v>6</v>
      </c>
      <c r="P58" s="37">
        <f t="shared" ca="1" si="15"/>
        <v>0</v>
      </c>
      <c r="Q58" s="39">
        <f t="shared" ca="1" si="20"/>
        <v>0</v>
      </c>
      <c r="R58" s="39">
        <f t="shared" si="21"/>
        <v>2</v>
      </c>
      <c r="S58" s="37">
        <f t="shared" ca="1" si="16"/>
        <v>0</v>
      </c>
      <c r="T58" s="39">
        <f t="shared" ca="1" si="22"/>
        <v>0</v>
      </c>
      <c r="U58" s="39">
        <f t="shared" si="23"/>
        <v>2</v>
      </c>
      <c r="V58" s="37">
        <f t="shared" ca="1" si="17"/>
        <v>0</v>
      </c>
      <c r="W58" s="39">
        <f t="shared" ca="1" si="24"/>
        <v>0</v>
      </c>
      <c r="X58" s="39">
        <f t="shared" si="25"/>
        <v>2</v>
      </c>
    </row>
    <row r="59" spans="1:24" ht="14" x14ac:dyDescent="0.3">
      <c r="A59" s="293">
        <v>63</v>
      </c>
      <c r="B59" s="293" t="s">
        <v>986</v>
      </c>
      <c r="C59" s="294" t="s">
        <v>1042</v>
      </c>
      <c r="D59" s="294" t="s">
        <v>401</v>
      </c>
      <c r="E59" s="294">
        <v>3</v>
      </c>
      <c r="F59" s="250">
        <f ca="1">VLOOKUP($D59,Data!$C:$I,7,FALSE)</f>
        <v>0</v>
      </c>
      <c r="G59" s="296" t="str">
        <f t="shared" si="0"/>
        <v>ID.GV-33</v>
      </c>
      <c r="H59" s="296" t="str">
        <f t="shared" ca="1" si="1"/>
        <v>ID.GV-330</v>
      </c>
      <c r="K59" s="249"/>
      <c r="L59" s="36" t="s">
        <v>1162</v>
      </c>
      <c r="M59" s="37">
        <f t="shared" ca="1" si="18"/>
        <v>0</v>
      </c>
      <c r="N59" s="39">
        <f t="shared" ca="1" si="19"/>
        <v>0</v>
      </c>
      <c r="O59" s="39">
        <f t="shared" si="14"/>
        <v>15</v>
      </c>
      <c r="P59" s="37">
        <f t="shared" ca="1" si="15"/>
        <v>0</v>
      </c>
      <c r="Q59" s="39">
        <f t="shared" ca="1" si="20"/>
        <v>0</v>
      </c>
      <c r="R59" s="39">
        <f t="shared" si="21"/>
        <v>1</v>
      </c>
      <c r="S59" s="37">
        <f t="shared" ca="1" si="16"/>
        <v>0</v>
      </c>
      <c r="T59" s="39">
        <f t="shared" ca="1" si="22"/>
        <v>0</v>
      </c>
      <c r="U59" s="39">
        <f t="shared" si="23"/>
        <v>10</v>
      </c>
      <c r="V59" s="37">
        <f t="shared" ca="1" si="17"/>
        <v>0</v>
      </c>
      <c r="W59" s="39">
        <f t="shared" ca="1" si="24"/>
        <v>0</v>
      </c>
      <c r="X59" s="39">
        <f t="shared" si="25"/>
        <v>4</v>
      </c>
    </row>
    <row r="60" spans="1:24" ht="14" x14ac:dyDescent="0.3">
      <c r="A60" s="293">
        <v>74</v>
      </c>
      <c r="B60" s="293" t="s">
        <v>1043</v>
      </c>
      <c r="C60" s="294" t="s">
        <v>1044</v>
      </c>
      <c r="D60" s="294" t="s">
        <v>44</v>
      </c>
      <c r="E60" s="294">
        <v>1</v>
      </c>
      <c r="F60" s="250">
        <f ca="1">VLOOKUP($D60,Data!$C:$I,7,FALSE)</f>
        <v>0</v>
      </c>
      <c r="G60" s="296" t="str">
        <f t="shared" si="0"/>
        <v>ID.GV-41</v>
      </c>
      <c r="H60" s="296" t="str">
        <f t="shared" ca="1" si="1"/>
        <v>ID.GV-410</v>
      </c>
      <c r="K60" s="249"/>
      <c r="L60" s="36" t="s">
        <v>1170</v>
      </c>
      <c r="M60" s="37">
        <f t="shared" ca="1" si="18"/>
        <v>0</v>
      </c>
      <c r="N60" s="39">
        <f t="shared" ca="1" si="19"/>
        <v>0</v>
      </c>
      <c r="O60" s="39">
        <f t="shared" si="14"/>
        <v>6</v>
      </c>
      <c r="P60" s="37">
        <f t="shared" si="15"/>
        <v>0</v>
      </c>
      <c r="Q60" s="39">
        <f t="shared" ca="1" si="20"/>
        <v>0</v>
      </c>
      <c r="R60" s="39">
        <f t="shared" si="21"/>
        <v>0</v>
      </c>
      <c r="S60" s="37">
        <f t="shared" ca="1" si="16"/>
        <v>0</v>
      </c>
      <c r="T60" s="39">
        <f t="shared" ca="1" si="22"/>
        <v>0</v>
      </c>
      <c r="U60" s="39">
        <f t="shared" si="23"/>
        <v>2</v>
      </c>
      <c r="V60" s="37">
        <f t="shared" ca="1" si="17"/>
        <v>0</v>
      </c>
      <c r="W60" s="39">
        <f t="shared" ca="1" si="24"/>
        <v>0</v>
      </c>
      <c r="X60" s="39">
        <f t="shared" si="25"/>
        <v>4</v>
      </c>
    </row>
    <row r="61" spans="1:24" ht="14" x14ac:dyDescent="0.3">
      <c r="A61" s="293">
        <v>75</v>
      </c>
      <c r="B61" s="293" t="s">
        <v>1043</v>
      </c>
      <c r="C61" s="294" t="s">
        <v>1045</v>
      </c>
      <c r="D61" s="294" t="s">
        <v>45</v>
      </c>
      <c r="E61" s="294">
        <v>1</v>
      </c>
      <c r="F61" s="250">
        <f ca="1">VLOOKUP($D61,Data!$C:$I,7,FALSE)</f>
        <v>0</v>
      </c>
      <c r="G61" s="296" t="str">
        <f t="shared" si="0"/>
        <v>ID.GV-41</v>
      </c>
      <c r="H61" s="296" t="str">
        <f t="shared" ca="1" si="1"/>
        <v>ID.GV-410</v>
      </c>
      <c r="K61" s="249"/>
      <c r="L61" s="36" t="s">
        <v>996</v>
      </c>
      <c r="M61" s="37">
        <f t="shared" ca="1" si="18"/>
        <v>0</v>
      </c>
      <c r="N61" s="39">
        <f t="shared" ca="1" si="19"/>
        <v>0</v>
      </c>
      <c r="O61" s="39">
        <f t="shared" si="14"/>
        <v>6</v>
      </c>
      <c r="P61" s="37">
        <f t="shared" ca="1" si="15"/>
        <v>0</v>
      </c>
      <c r="Q61" s="39">
        <f t="shared" ca="1" si="20"/>
        <v>0</v>
      </c>
      <c r="R61" s="39">
        <f t="shared" si="21"/>
        <v>2</v>
      </c>
      <c r="S61" s="37">
        <f t="shared" ca="1" si="16"/>
        <v>0</v>
      </c>
      <c r="T61" s="39">
        <f t="shared" ca="1" si="22"/>
        <v>0</v>
      </c>
      <c r="U61" s="39">
        <f t="shared" si="23"/>
        <v>2</v>
      </c>
      <c r="V61" s="37">
        <f t="shared" ca="1" si="17"/>
        <v>0</v>
      </c>
      <c r="W61" s="39">
        <f t="shared" ca="1" si="24"/>
        <v>0</v>
      </c>
      <c r="X61" s="39">
        <f t="shared" si="25"/>
        <v>2</v>
      </c>
    </row>
    <row r="62" spans="1:24" ht="14" x14ac:dyDescent="0.3">
      <c r="A62" s="293">
        <v>76</v>
      </c>
      <c r="B62" s="293" t="s">
        <v>1043</v>
      </c>
      <c r="C62" s="294" t="s">
        <v>1046</v>
      </c>
      <c r="D62" s="294" t="s">
        <v>56</v>
      </c>
      <c r="E62" s="294">
        <v>3</v>
      </c>
      <c r="F62" s="250">
        <f ca="1">VLOOKUP($D62,Data!$C:$I,7,FALSE)</f>
        <v>0</v>
      </c>
      <c r="G62" s="296" t="str">
        <f t="shared" si="0"/>
        <v>ID.GV-43</v>
      </c>
      <c r="H62" s="296" t="str">
        <f t="shared" ca="1" si="1"/>
        <v>ID.GV-430</v>
      </c>
      <c r="K62" s="249"/>
      <c r="L62" s="36" t="s">
        <v>1176</v>
      </c>
      <c r="M62" s="37">
        <f t="shared" ca="1" si="18"/>
        <v>0</v>
      </c>
      <c r="N62" s="39">
        <f t="shared" ca="1" si="19"/>
        <v>0</v>
      </c>
      <c r="O62" s="39">
        <f t="shared" si="14"/>
        <v>3</v>
      </c>
      <c r="P62" s="37">
        <f t="shared" si="15"/>
        <v>0</v>
      </c>
      <c r="Q62" s="39">
        <f t="shared" ca="1" si="20"/>
        <v>0</v>
      </c>
      <c r="R62" s="39">
        <f t="shared" si="21"/>
        <v>0</v>
      </c>
      <c r="S62" s="37">
        <f t="shared" ca="1" si="16"/>
        <v>0</v>
      </c>
      <c r="T62" s="39">
        <f t="shared" ca="1" si="22"/>
        <v>0</v>
      </c>
      <c r="U62" s="39">
        <f t="shared" si="23"/>
        <v>1</v>
      </c>
      <c r="V62" s="37">
        <f t="shared" ca="1" si="17"/>
        <v>0</v>
      </c>
      <c r="W62" s="39">
        <f t="shared" ca="1" si="24"/>
        <v>0</v>
      </c>
      <c r="X62" s="39">
        <f t="shared" si="25"/>
        <v>2</v>
      </c>
    </row>
    <row r="63" spans="1:24" ht="14" x14ac:dyDescent="0.3">
      <c r="A63" s="293">
        <v>77</v>
      </c>
      <c r="B63" s="293" t="s">
        <v>1043</v>
      </c>
      <c r="C63" s="294" t="s">
        <v>1038</v>
      </c>
      <c r="D63" s="294" t="s">
        <v>86</v>
      </c>
      <c r="E63" s="294">
        <v>3</v>
      </c>
      <c r="F63" s="250">
        <f ca="1">VLOOKUP($D63,Data!$C:$I,7,FALSE)</f>
        <v>0</v>
      </c>
      <c r="G63" s="296" t="str">
        <f t="shared" si="0"/>
        <v>ID.GV-43</v>
      </c>
      <c r="H63" s="296" t="str">
        <f t="shared" ca="1" si="1"/>
        <v>ID.GV-430</v>
      </c>
      <c r="K63" s="249" t="s">
        <v>1262</v>
      </c>
      <c r="L63" s="36" t="s">
        <v>1179</v>
      </c>
      <c r="M63" s="37">
        <f t="shared" ca="1" si="18"/>
        <v>0</v>
      </c>
      <c r="N63" s="39">
        <f t="shared" ca="1" si="19"/>
        <v>0</v>
      </c>
      <c r="O63" s="39">
        <f t="shared" si="14"/>
        <v>3</v>
      </c>
      <c r="P63" s="37">
        <f t="shared" ca="1" si="15"/>
        <v>0</v>
      </c>
      <c r="Q63" s="39">
        <f t="shared" ca="1" si="20"/>
        <v>0</v>
      </c>
      <c r="R63" s="39">
        <f t="shared" si="21"/>
        <v>1</v>
      </c>
      <c r="S63" s="37">
        <f t="shared" ca="1" si="16"/>
        <v>0</v>
      </c>
      <c r="T63" s="39">
        <f t="shared" ca="1" si="22"/>
        <v>0</v>
      </c>
      <c r="U63" s="39">
        <f t="shared" si="23"/>
        <v>1</v>
      </c>
      <c r="V63" s="37">
        <f t="shared" ca="1" si="17"/>
        <v>0</v>
      </c>
      <c r="W63" s="39">
        <f t="shared" ca="1" si="24"/>
        <v>0</v>
      </c>
      <c r="X63" s="39">
        <f t="shared" si="25"/>
        <v>1</v>
      </c>
    </row>
    <row r="64" spans="1:24" ht="14" x14ac:dyDescent="0.3">
      <c r="A64" s="293">
        <v>78</v>
      </c>
      <c r="B64" s="293" t="s">
        <v>1043</v>
      </c>
      <c r="C64" s="294" t="s">
        <v>1017</v>
      </c>
      <c r="D64" s="294" t="s">
        <v>65</v>
      </c>
      <c r="E64" s="294">
        <v>2</v>
      </c>
      <c r="F64" s="250">
        <f ca="1">VLOOKUP($D64,Data!$C:$I,7,FALSE)</f>
        <v>0</v>
      </c>
      <c r="G64" s="296" t="str">
        <f t="shared" si="0"/>
        <v>ID.GV-42</v>
      </c>
      <c r="H64" s="296" t="str">
        <f t="shared" ca="1" si="1"/>
        <v>ID.GV-420</v>
      </c>
      <c r="K64" s="249"/>
      <c r="L64" s="36" t="s">
        <v>997</v>
      </c>
      <c r="M64" s="37">
        <f t="shared" ca="1" si="18"/>
        <v>0</v>
      </c>
      <c r="N64" s="39">
        <f t="shared" ca="1" si="19"/>
        <v>0</v>
      </c>
      <c r="O64" s="39">
        <f t="shared" si="14"/>
        <v>8</v>
      </c>
      <c r="P64" s="37">
        <f t="shared" ca="1" si="15"/>
        <v>0</v>
      </c>
      <c r="Q64" s="39">
        <f t="shared" ca="1" si="20"/>
        <v>0</v>
      </c>
      <c r="R64" s="39">
        <f t="shared" si="21"/>
        <v>4</v>
      </c>
      <c r="S64" s="37">
        <f t="shared" ca="1" si="16"/>
        <v>0</v>
      </c>
      <c r="T64" s="39">
        <f t="shared" ca="1" si="22"/>
        <v>0</v>
      </c>
      <c r="U64" s="39">
        <f t="shared" si="23"/>
        <v>3</v>
      </c>
      <c r="V64" s="37">
        <f t="shared" ca="1" si="17"/>
        <v>0</v>
      </c>
      <c r="W64" s="39">
        <f t="shared" ca="1" si="24"/>
        <v>0</v>
      </c>
      <c r="X64" s="39">
        <f t="shared" si="25"/>
        <v>1</v>
      </c>
    </row>
    <row r="65" spans="1:24" ht="14" x14ac:dyDescent="0.3">
      <c r="A65" s="293">
        <v>79</v>
      </c>
      <c r="B65" s="293" t="s">
        <v>1043</v>
      </c>
      <c r="C65" s="294" t="s">
        <v>1047</v>
      </c>
      <c r="D65" s="294" t="s">
        <v>73</v>
      </c>
      <c r="E65" s="294">
        <v>3</v>
      </c>
      <c r="F65" s="250">
        <f ca="1">VLOOKUP($D65,Data!$C:$I,7,FALSE)</f>
        <v>0</v>
      </c>
      <c r="G65" s="296" t="str">
        <f t="shared" si="0"/>
        <v>ID.GV-43</v>
      </c>
      <c r="H65" s="296" t="str">
        <f t="shared" ca="1" si="1"/>
        <v>ID.GV-430</v>
      </c>
      <c r="K65" s="249" t="s">
        <v>1263</v>
      </c>
      <c r="L65" s="36" t="s">
        <v>1181</v>
      </c>
      <c r="M65" s="37">
        <f t="shared" ca="1" si="18"/>
        <v>0</v>
      </c>
      <c r="N65" s="39">
        <f t="shared" ca="1" si="19"/>
        <v>0</v>
      </c>
      <c r="O65" s="39">
        <f t="shared" si="14"/>
        <v>8</v>
      </c>
      <c r="P65" s="37">
        <f t="shared" ca="1" si="15"/>
        <v>0</v>
      </c>
      <c r="Q65" s="39">
        <f t="shared" ca="1" si="20"/>
        <v>0</v>
      </c>
      <c r="R65" s="39">
        <f t="shared" si="21"/>
        <v>2</v>
      </c>
      <c r="S65" s="37">
        <f t="shared" ca="1" si="16"/>
        <v>0</v>
      </c>
      <c r="T65" s="39">
        <f t="shared" ca="1" si="22"/>
        <v>0</v>
      </c>
      <c r="U65" s="39">
        <f t="shared" si="23"/>
        <v>4</v>
      </c>
      <c r="V65" s="37">
        <f t="shared" ca="1" si="17"/>
        <v>0</v>
      </c>
      <c r="W65" s="39">
        <f t="shared" ca="1" si="24"/>
        <v>0</v>
      </c>
      <c r="X65" s="39">
        <f t="shared" si="25"/>
        <v>2</v>
      </c>
    </row>
    <row r="66" spans="1:24" ht="14" x14ac:dyDescent="0.3">
      <c r="A66" s="293">
        <v>80</v>
      </c>
      <c r="B66" s="293" t="s">
        <v>1048</v>
      </c>
      <c r="C66" s="294" t="s">
        <v>1049</v>
      </c>
      <c r="D66" s="294" t="s">
        <v>200</v>
      </c>
      <c r="E66" s="294">
        <v>1</v>
      </c>
      <c r="F66" s="250">
        <f ca="1">VLOOKUP($D66,Data!$C:$I,7,FALSE)</f>
        <v>0</v>
      </c>
      <c r="G66" s="296" t="str">
        <f t="shared" ref="G66:G129" si="26">CONCATENATE($B66,$E66)</f>
        <v>ID.RA-11</v>
      </c>
      <c r="H66" s="296" t="str">
        <f t="shared" ref="H66:H129" ca="1" si="27">_xlfn.IFNA(CONCATENATE($B66,$E66,$F66),CONCATENATE($B66,$E66,0))</f>
        <v>ID.RA-110</v>
      </c>
      <c r="K66" s="249"/>
      <c r="L66" s="36" t="s">
        <v>998</v>
      </c>
      <c r="M66" s="37">
        <f t="shared" ca="1" si="18"/>
        <v>0</v>
      </c>
      <c r="N66" s="39">
        <f t="shared" ca="1" si="19"/>
        <v>0</v>
      </c>
      <c r="O66" s="39">
        <f t="shared" si="14"/>
        <v>4</v>
      </c>
      <c r="P66" s="37">
        <f t="shared" ca="1" si="15"/>
        <v>0</v>
      </c>
      <c r="Q66" s="39">
        <f t="shared" ref="Q66:Q97" ca="1" si="28">COUNTIF($H:$H,CONCATENATE($L66,P$1,1))</f>
        <v>0</v>
      </c>
      <c r="R66" s="39">
        <f t="shared" ref="R66:R97" si="29">COUNTIF($G:$G,CONCATENATE($L66,P$1))</f>
        <v>3</v>
      </c>
      <c r="S66" s="37">
        <f t="shared" si="16"/>
        <v>0</v>
      </c>
      <c r="T66" s="39">
        <f t="shared" ref="T66:T97" ca="1" si="30">COUNTIF($H:$H,CONCATENATE($L66,S$1,1))</f>
        <v>0</v>
      </c>
      <c r="U66" s="39">
        <f t="shared" ref="U66:U97" si="31">COUNTIF($G:$G,CONCATENATE($L66,S$1))</f>
        <v>0</v>
      </c>
      <c r="V66" s="37">
        <f t="shared" ref="V66:V109" ca="1" si="32">IF(X66=0,0,W66/X66)</f>
        <v>0</v>
      </c>
      <c r="W66" s="39">
        <f t="shared" ref="W66:W97" ca="1" si="33">COUNTIF($H:$H,CONCATENATE($L66,V$1,1))</f>
        <v>0</v>
      </c>
      <c r="X66" s="39">
        <f t="shared" ref="X66:X97" si="34">COUNTIF($G:$G,CONCATENATE($L66,V$1))</f>
        <v>1</v>
      </c>
    </row>
    <row r="67" spans="1:24" ht="14" x14ac:dyDescent="0.3">
      <c r="A67" s="293">
        <v>81</v>
      </c>
      <c r="B67" s="293" t="s">
        <v>1048</v>
      </c>
      <c r="C67" s="294" t="s">
        <v>1050</v>
      </c>
      <c r="D67" s="294" t="s">
        <v>201</v>
      </c>
      <c r="E67" s="294">
        <v>1</v>
      </c>
      <c r="F67" s="250">
        <f ca="1">VLOOKUP($D67,Data!$C:$I,7,FALSE)</f>
        <v>0</v>
      </c>
      <c r="G67" s="296" t="str">
        <f t="shared" si="26"/>
        <v>ID.RA-11</v>
      </c>
      <c r="H67" s="296" t="str">
        <f t="shared" ca="1" si="27"/>
        <v>ID.RA-110</v>
      </c>
      <c r="K67" s="249"/>
      <c r="L67" s="36" t="s">
        <v>999</v>
      </c>
      <c r="M67" s="37">
        <f t="shared" ref="M67:M109" ca="1" si="35">IF(O67=0,0,N67/O67)</f>
        <v>0</v>
      </c>
      <c r="N67" s="39">
        <f t="shared" ref="N67:N109" ca="1" si="36">SUM(Q67+T67+W67)</f>
        <v>0</v>
      </c>
      <c r="O67" s="39">
        <f t="shared" ref="O67:O109" si="37">SUM(R67+U67+X67)</f>
        <v>8</v>
      </c>
      <c r="P67" s="37">
        <f t="shared" ca="1" si="15"/>
        <v>0</v>
      </c>
      <c r="Q67" s="39">
        <f t="shared" ca="1" si="28"/>
        <v>0</v>
      </c>
      <c r="R67" s="39">
        <f t="shared" si="29"/>
        <v>3</v>
      </c>
      <c r="S67" s="37">
        <f t="shared" ca="1" si="16"/>
        <v>0</v>
      </c>
      <c r="T67" s="39">
        <f t="shared" ca="1" si="30"/>
        <v>0</v>
      </c>
      <c r="U67" s="39">
        <f t="shared" si="31"/>
        <v>3</v>
      </c>
      <c r="V67" s="37">
        <f t="shared" ca="1" si="32"/>
        <v>0</v>
      </c>
      <c r="W67" s="39">
        <f t="shared" ca="1" si="33"/>
        <v>0</v>
      </c>
      <c r="X67" s="39">
        <f t="shared" si="34"/>
        <v>2</v>
      </c>
    </row>
    <row r="68" spans="1:24" ht="14" x14ac:dyDescent="0.3">
      <c r="A68" s="293">
        <v>82</v>
      </c>
      <c r="B68" s="293" t="s">
        <v>1048</v>
      </c>
      <c r="C68" s="294" t="s">
        <v>1051</v>
      </c>
      <c r="D68" s="294" t="s">
        <v>204</v>
      </c>
      <c r="E68" s="294">
        <v>2</v>
      </c>
      <c r="F68" s="250">
        <f ca="1">VLOOKUP($D68,Data!$C:$I,7,FALSE)</f>
        <v>0</v>
      </c>
      <c r="G68" s="296" t="str">
        <f t="shared" si="26"/>
        <v>ID.RA-12</v>
      </c>
      <c r="H68" s="296" t="str">
        <f t="shared" ca="1" si="27"/>
        <v>ID.RA-120</v>
      </c>
      <c r="K68" s="249"/>
      <c r="L68" s="36" t="s">
        <v>1189</v>
      </c>
      <c r="M68" s="37">
        <f t="shared" ca="1" si="35"/>
        <v>0</v>
      </c>
      <c r="N68" s="39">
        <f t="shared" ca="1" si="36"/>
        <v>0</v>
      </c>
      <c r="O68" s="39">
        <f t="shared" si="37"/>
        <v>7</v>
      </c>
      <c r="P68" s="37">
        <f t="shared" ca="1" si="15"/>
        <v>0</v>
      </c>
      <c r="Q68" s="39">
        <f t="shared" ca="1" si="28"/>
        <v>0</v>
      </c>
      <c r="R68" s="39">
        <f t="shared" si="29"/>
        <v>1</v>
      </c>
      <c r="S68" s="37">
        <f t="shared" ca="1" si="16"/>
        <v>0</v>
      </c>
      <c r="T68" s="39">
        <f t="shared" ca="1" si="30"/>
        <v>0</v>
      </c>
      <c r="U68" s="39">
        <f t="shared" si="31"/>
        <v>4</v>
      </c>
      <c r="V68" s="37">
        <f t="shared" ca="1" si="32"/>
        <v>0</v>
      </c>
      <c r="W68" s="39">
        <f t="shared" ca="1" si="33"/>
        <v>0</v>
      </c>
      <c r="X68" s="39">
        <f t="shared" si="34"/>
        <v>2</v>
      </c>
    </row>
    <row r="69" spans="1:24" ht="14" x14ac:dyDescent="0.3">
      <c r="A69" s="293">
        <v>83</v>
      </c>
      <c r="B69" s="293" t="s">
        <v>1048</v>
      </c>
      <c r="C69" s="294" t="s">
        <v>1052</v>
      </c>
      <c r="D69" s="294" t="s">
        <v>202</v>
      </c>
      <c r="E69" s="294">
        <v>1</v>
      </c>
      <c r="F69" s="250">
        <f ca="1">VLOOKUP($D69,Data!$C:$I,7,FALSE)</f>
        <v>0</v>
      </c>
      <c r="G69" s="296" t="str">
        <f t="shared" si="26"/>
        <v>ID.RA-11</v>
      </c>
      <c r="H69" s="296" t="str">
        <f t="shared" ca="1" si="27"/>
        <v>ID.RA-110</v>
      </c>
      <c r="K69" s="249"/>
      <c r="L69" s="36" t="s">
        <v>1190</v>
      </c>
      <c r="M69" s="37">
        <f t="shared" ca="1" si="35"/>
        <v>0</v>
      </c>
      <c r="N69" s="39">
        <f t="shared" ca="1" si="36"/>
        <v>0</v>
      </c>
      <c r="O69" s="39">
        <f t="shared" si="37"/>
        <v>3</v>
      </c>
      <c r="P69" s="37">
        <f t="shared" ca="1" si="15"/>
        <v>0</v>
      </c>
      <c r="Q69" s="39">
        <f t="shared" ca="1" si="28"/>
        <v>0</v>
      </c>
      <c r="R69" s="39">
        <f t="shared" si="29"/>
        <v>1</v>
      </c>
      <c r="S69" s="37">
        <f t="shared" ca="1" si="16"/>
        <v>0</v>
      </c>
      <c r="T69" s="39">
        <f t="shared" ca="1" si="30"/>
        <v>0</v>
      </c>
      <c r="U69" s="39">
        <f t="shared" si="31"/>
        <v>2</v>
      </c>
      <c r="V69" s="37">
        <f t="shared" si="32"/>
        <v>0</v>
      </c>
      <c r="W69" s="39">
        <f t="shared" ca="1" si="33"/>
        <v>0</v>
      </c>
      <c r="X69" s="39">
        <f t="shared" si="34"/>
        <v>0</v>
      </c>
    </row>
    <row r="70" spans="1:24" ht="14" x14ac:dyDescent="0.3">
      <c r="A70" s="293">
        <v>84</v>
      </c>
      <c r="B70" s="293" t="s">
        <v>1048</v>
      </c>
      <c r="C70" s="294" t="s">
        <v>1053</v>
      </c>
      <c r="D70" s="294" t="s">
        <v>206</v>
      </c>
      <c r="E70" s="294">
        <v>2</v>
      </c>
      <c r="F70" s="250">
        <f ca="1">VLOOKUP($D70,Data!$C:$I,7,FALSE)</f>
        <v>0</v>
      </c>
      <c r="G70" s="296" t="str">
        <f t="shared" si="26"/>
        <v>ID.RA-12</v>
      </c>
      <c r="H70" s="296" t="str">
        <f t="shared" ca="1" si="27"/>
        <v>ID.RA-120</v>
      </c>
      <c r="K70" s="249" t="s">
        <v>1264</v>
      </c>
      <c r="L70" s="36" t="s">
        <v>1191</v>
      </c>
      <c r="M70" s="37">
        <f t="shared" ca="1" si="35"/>
        <v>0</v>
      </c>
      <c r="N70" s="39">
        <f t="shared" ca="1" si="36"/>
        <v>0</v>
      </c>
      <c r="O70" s="39">
        <f t="shared" si="37"/>
        <v>1</v>
      </c>
      <c r="P70" s="37">
        <f t="shared" ca="1" si="15"/>
        <v>0</v>
      </c>
      <c r="Q70" s="39">
        <f t="shared" ca="1" si="28"/>
        <v>0</v>
      </c>
      <c r="R70" s="39">
        <f t="shared" si="29"/>
        <v>1</v>
      </c>
      <c r="S70" s="37">
        <f t="shared" si="16"/>
        <v>0</v>
      </c>
      <c r="T70" s="39">
        <f t="shared" ca="1" si="30"/>
        <v>0</v>
      </c>
      <c r="U70" s="39">
        <f t="shared" si="31"/>
        <v>0</v>
      </c>
      <c r="V70" s="37">
        <f t="shared" si="32"/>
        <v>0</v>
      </c>
      <c r="W70" s="39">
        <f t="shared" ca="1" si="33"/>
        <v>0</v>
      </c>
      <c r="X70" s="39">
        <f t="shared" si="34"/>
        <v>0</v>
      </c>
    </row>
    <row r="71" spans="1:24" ht="14" x14ac:dyDescent="0.3">
      <c r="A71" s="293">
        <v>85</v>
      </c>
      <c r="B71" s="293" t="s">
        <v>1048</v>
      </c>
      <c r="C71" s="294" t="s">
        <v>1017</v>
      </c>
      <c r="D71" s="294" t="s">
        <v>65</v>
      </c>
      <c r="E71" s="294">
        <v>2</v>
      </c>
      <c r="F71" s="250">
        <f ca="1">VLOOKUP($D71,Data!$C:$I,7,FALSE)</f>
        <v>0</v>
      </c>
      <c r="G71" s="296" t="str">
        <f t="shared" si="26"/>
        <v>ID.RA-12</v>
      </c>
      <c r="H71" s="296" t="str">
        <f t="shared" ca="1" si="27"/>
        <v>ID.RA-120</v>
      </c>
      <c r="K71" s="249"/>
      <c r="L71" s="36" t="s">
        <v>1192</v>
      </c>
      <c r="M71" s="37">
        <f t="shared" ca="1" si="35"/>
        <v>0</v>
      </c>
      <c r="N71" s="39">
        <f t="shared" ca="1" si="36"/>
        <v>0</v>
      </c>
      <c r="O71" s="39">
        <f t="shared" si="37"/>
        <v>3</v>
      </c>
      <c r="P71" s="37">
        <f t="shared" si="15"/>
        <v>0</v>
      </c>
      <c r="Q71" s="39">
        <f t="shared" ca="1" si="28"/>
        <v>0</v>
      </c>
      <c r="R71" s="39">
        <f t="shared" si="29"/>
        <v>0</v>
      </c>
      <c r="S71" s="37">
        <f t="shared" si="16"/>
        <v>0</v>
      </c>
      <c r="T71" s="39">
        <f t="shared" ca="1" si="30"/>
        <v>0</v>
      </c>
      <c r="U71" s="39">
        <f t="shared" si="31"/>
        <v>0</v>
      </c>
      <c r="V71" s="37">
        <f t="shared" ca="1" si="32"/>
        <v>0</v>
      </c>
      <c r="W71" s="39">
        <f t="shared" ca="1" si="33"/>
        <v>0</v>
      </c>
      <c r="X71" s="39">
        <f t="shared" si="34"/>
        <v>3</v>
      </c>
    </row>
    <row r="72" spans="1:24" ht="14" x14ac:dyDescent="0.3">
      <c r="A72" s="293">
        <v>86</v>
      </c>
      <c r="B72" s="293" t="s">
        <v>1048</v>
      </c>
      <c r="C72" s="294" t="s">
        <v>1054</v>
      </c>
      <c r="D72" s="294" t="s">
        <v>48</v>
      </c>
      <c r="E72" s="294">
        <v>2</v>
      </c>
      <c r="F72" s="250">
        <f ca="1">VLOOKUP($D72,Data!$C:$I,7,FALSE)</f>
        <v>0</v>
      </c>
      <c r="G72" s="296" t="str">
        <f t="shared" si="26"/>
        <v>ID.RA-12</v>
      </c>
      <c r="H72" s="296" t="str">
        <f t="shared" ca="1" si="27"/>
        <v>ID.RA-120</v>
      </c>
      <c r="K72" s="249"/>
      <c r="L72" s="36" t="s">
        <v>1196</v>
      </c>
      <c r="M72" s="37">
        <f t="shared" ca="1" si="35"/>
        <v>0</v>
      </c>
      <c r="N72" s="39">
        <f t="shared" ca="1" si="36"/>
        <v>0</v>
      </c>
      <c r="O72" s="39">
        <f t="shared" si="37"/>
        <v>3</v>
      </c>
      <c r="P72" s="37">
        <f t="shared" si="15"/>
        <v>0</v>
      </c>
      <c r="Q72" s="39">
        <f t="shared" ca="1" si="28"/>
        <v>0</v>
      </c>
      <c r="R72" s="39">
        <f t="shared" si="29"/>
        <v>0</v>
      </c>
      <c r="S72" s="37">
        <f t="shared" ca="1" si="16"/>
        <v>0</v>
      </c>
      <c r="T72" s="39">
        <f t="shared" ca="1" si="30"/>
        <v>0</v>
      </c>
      <c r="U72" s="39">
        <f t="shared" si="31"/>
        <v>1</v>
      </c>
      <c r="V72" s="37">
        <f t="shared" ca="1" si="32"/>
        <v>0</v>
      </c>
      <c r="W72" s="39">
        <f t="shared" ca="1" si="33"/>
        <v>0</v>
      </c>
      <c r="X72" s="39">
        <f t="shared" si="34"/>
        <v>2</v>
      </c>
    </row>
    <row r="73" spans="1:24" ht="14" x14ac:dyDescent="0.3">
      <c r="A73" s="293">
        <v>86</v>
      </c>
      <c r="B73" s="293" t="s">
        <v>1048</v>
      </c>
      <c r="C73" s="294" t="s">
        <v>1054</v>
      </c>
      <c r="D73" s="294" t="s">
        <v>61</v>
      </c>
      <c r="E73" s="295">
        <v>3</v>
      </c>
      <c r="F73" s="250">
        <f ca="1">VLOOKUP($D73,Data!$C:$I,7,FALSE)</f>
        <v>0</v>
      </c>
      <c r="G73" s="296" t="str">
        <f t="shared" si="26"/>
        <v>ID.RA-13</v>
      </c>
      <c r="H73" s="296" t="str">
        <f t="shared" ca="1" si="27"/>
        <v>ID.RA-130</v>
      </c>
      <c r="K73" s="249"/>
      <c r="L73" s="36" t="s">
        <v>1198</v>
      </c>
      <c r="M73" s="37">
        <f t="shared" ca="1" si="35"/>
        <v>0</v>
      </c>
      <c r="N73" s="39">
        <f t="shared" ca="1" si="36"/>
        <v>0</v>
      </c>
      <c r="O73" s="39">
        <f t="shared" si="37"/>
        <v>6</v>
      </c>
      <c r="P73" s="37">
        <f t="shared" ca="1" si="15"/>
        <v>0</v>
      </c>
      <c r="Q73" s="39">
        <f t="shared" ca="1" si="28"/>
        <v>0</v>
      </c>
      <c r="R73" s="39">
        <f t="shared" si="29"/>
        <v>1</v>
      </c>
      <c r="S73" s="37">
        <f t="shared" ca="1" si="16"/>
        <v>0</v>
      </c>
      <c r="T73" s="39">
        <f t="shared" ca="1" si="30"/>
        <v>0</v>
      </c>
      <c r="U73" s="39">
        <f t="shared" si="31"/>
        <v>3</v>
      </c>
      <c r="V73" s="37">
        <f t="shared" ca="1" si="32"/>
        <v>0</v>
      </c>
      <c r="W73" s="39">
        <f t="shared" ca="1" si="33"/>
        <v>0</v>
      </c>
      <c r="X73" s="39">
        <f t="shared" si="34"/>
        <v>2</v>
      </c>
    </row>
    <row r="74" spans="1:24" ht="14" x14ac:dyDescent="0.3">
      <c r="A74" s="293">
        <v>87</v>
      </c>
      <c r="B74" s="293" t="s">
        <v>1048</v>
      </c>
      <c r="C74" s="294" t="s">
        <v>1055</v>
      </c>
      <c r="D74" s="294" t="s">
        <v>210</v>
      </c>
      <c r="E74" s="294">
        <v>3</v>
      </c>
      <c r="F74" s="250">
        <f ca="1">VLOOKUP($D74,Data!$C:$I,7,FALSE)</f>
        <v>0</v>
      </c>
      <c r="G74" s="296" t="str">
        <f t="shared" si="26"/>
        <v>ID.RA-13</v>
      </c>
      <c r="H74" s="296" t="str">
        <f t="shared" ca="1" si="27"/>
        <v>ID.RA-130</v>
      </c>
      <c r="K74" s="249"/>
      <c r="L74" s="36" t="s">
        <v>1202</v>
      </c>
      <c r="M74" s="37">
        <f t="shared" ca="1" si="35"/>
        <v>0</v>
      </c>
      <c r="N74" s="39">
        <f t="shared" ca="1" si="36"/>
        <v>0</v>
      </c>
      <c r="O74" s="39">
        <f t="shared" si="37"/>
        <v>8</v>
      </c>
      <c r="P74" s="37">
        <f t="shared" ca="1" si="15"/>
        <v>0</v>
      </c>
      <c r="Q74" s="39">
        <f t="shared" ca="1" si="28"/>
        <v>0</v>
      </c>
      <c r="R74" s="39">
        <f t="shared" si="29"/>
        <v>1</v>
      </c>
      <c r="S74" s="37">
        <f t="shared" ca="1" si="16"/>
        <v>0</v>
      </c>
      <c r="T74" s="39">
        <f t="shared" ca="1" si="30"/>
        <v>0</v>
      </c>
      <c r="U74" s="39">
        <f t="shared" si="31"/>
        <v>4</v>
      </c>
      <c r="V74" s="37">
        <f t="shared" ca="1" si="32"/>
        <v>0</v>
      </c>
      <c r="W74" s="39">
        <f t="shared" ca="1" si="33"/>
        <v>0</v>
      </c>
      <c r="X74" s="39">
        <f t="shared" si="34"/>
        <v>3</v>
      </c>
    </row>
    <row r="75" spans="1:24" ht="14" x14ac:dyDescent="0.3">
      <c r="A75" s="293">
        <v>89</v>
      </c>
      <c r="B75" s="293" t="s">
        <v>1048</v>
      </c>
      <c r="C75" s="294" t="s">
        <v>1056</v>
      </c>
      <c r="D75" s="294" t="s">
        <v>212</v>
      </c>
      <c r="E75" s="294">
        <v>3</v>
      </c>
      <c r="F75" s="250">
        <f ca="1">VLOOKUP($D75,Data!$C:$I,7,FALSE)</f>
        <v>0</v>
      </c>
      <c r="G75" s="296" t="str">
        <f t="shared" si="26"/>
        <v>ID.RA-13</v>
      </c>
      <c r="H75" s="296" t="str">
        <f t="shared" ca="1" si="27"/>
        <v>ID.RA-130</v>
      </c>
      <c r="K75" s="249" t="s">
        <v>1265</v>
      </c>
      <c r="L75" s="36" t="s">
        <v>1205</v>
      </c>
      <c r="M75" s="37">
        <f t="shared" ca="1" si="35"/>
        <v>0</v>
      </c>
      <c r="N75" s="39">
        <f t="shared" ca="1" si="36"/>
        <v>0</v>
      </c>
      <c r="O75" s="39">
        <f t="shared" si="37"/>
        <v>8</v>
      </c>
      <c r="P75" s="37">
        <f t="shared" ca="1" si="15"/>
        <v>0</v>
      </c>
      <c r="Q75" s="39">
        <f t="shared" ca="1" si="28"/>
        <v>0</v>
      </c>
      <c r="R75" s="39">
        <f t="shared" si="29"/>
        <v>2</v>
      </c>
      <c r="S75" s="37">
        <f t="shared" ca="1" si="16"/>
        <v>0</v>
      </c>
      <c r="T75" s="39">
        <f t="shared" ca="1" si="30"/>
        <v>0</v>
      </c>
      <c r="U75" s="39">
        <f t="shared" si="31"/>
        <v>3</v>
      </c>
      <c r="V75" s="37">
        <f t="shared" ca="1" si="32"/>
        <v>0</v>
      </c>
      <c r="W75" s="39">
        <f t="shared" ca="1" si="33"/>
        <v>0</v>
      </c>
      <c r="X75" s="39">
        <f t="shared" si="34"/>
        <v>3</v>
      </c>
    </row>
    <row r="76" spans="1:24" ht="14" x14ac:dyDescent="0.3">
      <c r="A76" s="293">
        <v>91</v>
      </c>
      <c r="B76" s="293" t="s">
        <v>1057</v>
      </c>
      <c r="C76" s="294" t="s">
        <v>1058</v>
      </c>
      <c r="D76" s="294" t="s">
        <v>186</v>
      </c>
      <c r="E76" s="294">
        <v>1</v>
      </c>
      <c r="F76" s="250">
        <f ca="1">VLOOKUP($D76,Data!$C:$I,7,FALSE)</f>
        <v>0</v>
      </c>
      <c r="G76" s="296" t="str">
        <f t="shared" si="26"/>
        <v>ID.RA-21</v>
      </c>
      <c r="H76" s="296" t="str">
        <f t="shared" ca="1" si="27"/>
        <v>ID.RA-210</v>
      </c>
      <c r="K76" s="249"/>
      <c r="L76" s="36" t="s">
        <v>1209</v>
      </c>
      <c r="M76" s="37">
        <f t="shared" ca="1" si="35"/>
        <v>0</v>
      </c>
      <c r="N76" s="39">
        <f t="shared" ca="1" si="36"/>
        <v>0</v>
      </c>
      <c r="O76" s="39">
        <f t="shared" si="37"/>
        <v>5</v>
      </c>
      <c r="P76" s="37">
        <f t="shared" ca="1" si="15"/>
        <v>0</v>
      </c>
      <c r="Q76" s="39">
        <f t="shared" ca="1" si="28"/>
        <v>0</v>
      </c>
      <c r="R76" s="39">
        <f t="shared" si="29"/>
        <v>2</v>
      </c>
      <c r="S76" s="37">
        <f t="shared" ca="1" si="16"/>
        <v>0</v>
      </c>
      <c r="T76" s="39">
        <f t="shared" ca="1" si="30"/>
        <v>0</v>
      </c>
      <c r="U76" s="39">
        <f t="shared" si="31"/>
        <v>1</v>
      </c>
      <c r="V76" s="37">
        <f t="shared" ca="1" si="32"/>
        <v>0</v>
      </c>
      <c r="W76" s="39">
        <f t="shared" ca="1" si="33"/>
        <v>0</v>
      </c>
      <c r="X76" s="39">
        <f t="shared" si="34"/>
        <v>2</v>
      </c>
    </row>
    <row r="77" spans="1:24" ht="14" x14ac:dyDescent="0.3">
      <c r="A77" s="293">
        <v>92</v>
      </c>
      <c r="B77" s="293" t="s">
        <v>1057</v>
      </c>
      <c r="C77" s="294" t="s">
        <v>1059</v>
      </c>
      <c r="D77" s="294" t="s">
        <v>187</v>
      </c>
      <c r="E77" s="294">
        <v>1</v>
      </c>
      <c r="F77" s="250">
        <f ca="1">VLOOKUP($D77,Data!$C:$I,7,FALSE)</f>
        <v>0</v>
      </c>
      <c r="G77" s="296" t="str">
        <f t="shared" si="26"/>
        <v>ID.RA-21</v>
      </c>
      <c r="H77" s="296" t="str">
        <f t="shared" ca="1" si="27"/>
        <v>ID.RA-210</v>
      </c>
      <c r="K77" s="249"/>
      <c r="L77" s="36" t="s">
        <v>1210</v>
      </c>
      <c r="M77" s="37">
        <f t="shared" ca="1" si="35"/>
        <v>0</v>
      </c>
      <c r="N77" s="39">
        <f t="shared" ca="1" si="36"/>
        <v>0</v>
      </c>
      <c r="O77" s="39">
        <f t="shared" si="37"/>
        <v>5</v>
      </c>
      <c r="P77" s="37">
        <f t="shared" ca="1" si="15"/>
        <v>0</v>
      </c>
      <c r="Q77" s="39">
        <f t="shared" ca="1" si="28"/>
        <v>0</v>
      </c>
      <c r="R77" s="39">
        <f t="shared" si="29"/>
        <v>2</v>
      </c>
      <c r="S77" s="37">
        <f t="shared" ca="1" si="16"/>
        <v>0</v>
      </c>
      <c r="T77" s="39">
        <f t="shared" ca="1" si="30"/>
        <v>0</v>
      </c>
      <c r="U77" s="39">
        <f t="shared" si="31"/>
        <v>1</v>
      </c>
      <c r="V77" s="37">
        <f t="shared" ca="1" si="32"/>
        <v>0</v>
      </c>
      <c r="W77" s="39">
        <f t="shared" ca="1" si="33"/>
        <v>0</v>
      </c>
      <c r="X77" s="39">
        <f t="shared" si="34"/>
        <v>2</v>
      </c>
    </row>
    <row r="78" spans="1:24" ht="14" x14ac:dyDescent="0.3">
      <c r="A78" s="293">
        <v>93</v>
      </c>
      <c r="B78" s="293" t="s">
        <v>1057</v>
      </c>
      <c r="C78" s="294" t="s">
        <v>1049</v>
      </c>
      <c r="D78" s="294" t="s">
        <v>200</v>
      </c>
      <c r="E78" s="294">
        <v>1</v>
      </c>
      <c r="F78" s="250">
        <f ca="1">VLOOKUP($D78,Data!$C:$I,7,FALSE)</f>
        <v>0</v>
      </c>
      <c r="G78" s="296" t="str">
        <f t="shared" si="26"/>
        <v>ID.RA-21</v>
      </c>
      <c r="H78" s="296" t="str">
        <f t="shared" ca="1" si="27"/>
        <v>ID.RA-210</v>
      </c>
      <c r="K78" s="249"/>
      <c r="L78" s="36" t="s">
        <v>1212</v>
      </c>
      <c r="M78" s="37">
        <f t="shared" ca="1" si="35"/>
        <v>0</v>
      </c>
      <c r="N78" s="39">
        <f t="shared" ca="1" si="36"/>
        <v>0</v>
      </c>
      <c r="O78" s="39">
        <f t="shared" si="37"/>
        <v>7</v>
      </c>
      <c r="P78" s="37">
        <f t="shared" ref="P78:P109" ca="1" si="38">IF(R78=0,0,Q78/R78)</f>
        <v>0</v>
      </c>
      <c r="Q78" s="39">
        <f t="shared" ca="1" si="28"/>
        <v>0</v>
      </c>
      <c r="R78" s="39">
        <f t="shared" si="29"/>
        <v>2</v>
      </c>
      <c r="S78" s="37">
        <f t="shared" ref="S78:S109" ca="1" si="39">IF(U78=0,0,T78/U78)</f>
        <v>0</v>
      </c>
      <c r="T78" s="39">
        <f t="shared" ca="1" si="30"/>
        <v>0</v>
      </c>
      <c r="U78" s="39">
        <f t="shared" si="31"/>
        <v>2</v>
      </c>
      <c r="V78" s="37">
        <f t="shared" ca="1" si="32"/>
        <v>0</v>
      </c>
      <c r="W78" s="39">
        <f t="shared" ca="1" si="33"/>
        <v>0</v>
      </c>
      <c r="X78" s="39">
        <f t="shared" si="34"/>
        <v>3</v>
      </c>
    </row>
    <row r="79" spans="1:24" ht="14" x14ac:dyDescent="0.3">
      <c r="A79" s="293">
        <v>94</v>
      </c>
      <c r="B79" s="293" t="s">
        <v>1057</v>
      </c>
      <c r="C79" s="294" t="s">
        <v>1050</v>
      </c>
      <c r="D79" s="294" t="s">
        <v>201</v>
      </c>
      <c r="E79" s="294">
        <v>1</v>
      </c>
      <c r="F79" s="250">
        <f ca="1">VLOOKUP($D79,Data!$C:$I,7,FALSE)</f>
        <v>0</v>
      </c>
      <c r="G79" s="296" t="str">
        <f t="shared" si="26"/>
        <v>ID.RA-21</v>
      </c>
      <c r="H79" s="296" t="str">
        <f t="shared" ca="1" si="27"/>
        <v>ID.RA-210</v>
      </c>
      <c r="K79" s="249"/>
      <c r="L79" s="36" t="s">
        <v>1000</v>
      </c>
      <c r="M79" s="37">
        <f t="shared" ca="1" si="35"/>
        <v>0</v>
      </c>
      <c r="N79" s="39">
        <f t="shared" ca="1" si="36"/>
        <v>0</v>
      </c>
      <c r="O79" s="39">
        <f t="shared" si="37"/>
        <v>6</v>
      </c>
      <c r="P79" s="37">
        <f t="shared" ca="1" si="38"/>
        <v>0</v>
      </c>
      <c r="Q79" s="39">
        <f t="shared" ca="1" si="28"/>
        <v>0</v>
      </c>
      <c r="R79" s="39">
        <f t="shared" si="29"/>
        <v>2</v>
      </c>
      <c r="S79" s="37">
        <f t="shared" ca="1" si="39"/>
        <v>0</v>
      </c>
      <c r="T79" s="39">
        <f t="shared" ca="1" si="30"/>
        <v>0</v>
      </c>
      <c r="U79" s="39">
        <f t="shared" si="31"/>
        <v>1</v>
      </c>
      <c r="V79" s="37">
        <f t="shared" ca="1" si="32"/>
        <v>0</v>
      </c>
      <c r="W79" s="39">
        <f t="shared" ca="1" si="33"/>
        <v>0</v>
      </c>
      <c r="X79" s="39">
        <f t="shared" si="34"/>
        <v>3</v>
      </c>
    </row>
    <row r="80" spans="1:24" ht="14" x14ac:dyDescent="0.3">
      <c r="A80" s="293">
        <v>95</v>
      </c>
      <c r="B80" s="293" t="s">
        <v>1057</v>
      </c>
      <c r="C80" s="294" t="s">
        <v>1051</v>
      </c>
      <c r="D80" s="294" t="s">
        <v>204</v>
      </c>
      <c r="E80" s="294">
        <v>2</v>
      </c>
      <c r="F80" s="250">
        <f ca="1">VLOOKUP($D80,Data!$C:$I,7,FALSE)</f>
        <v>0</v>
      </c>
      <c r="G80" s="296" t="str">
        <f t="shared" si="26"/>
        <v>ID.RA-22</v>
      </c>
      <c r="H80" s="296" t="str">
        <f t="shared" ca="1" si="27"/>
        <v>ID.RA-220</v>
      </c>
      <c r="K80" s="249"/>
      <c r="L80" s="36" t="s">
        <v>1001</v>
      </c>
      <c r="M80" s="37">
        <f t="shared" ca="1" si="35"/>
        <v>0</v>
      </c>
      <c r="N80" s="39">
        <f t="shared" ca="1" si="36"/>
        <v>0</v>
      </c>
      <c r="O80" s="39">
        <f t="shared" si="37"/>
        <v>6</v>
      </c>
      <c r="P80" s="37">
        <f t="shared" ca="1" si="38"/>
        <v>0</v>
      </c>
      <c r="Q80" s="39">
        <f t="shared" ca="1" si="28"/>
        <v>0</v>
      </c>
      <c r="R80" s="39">
        <f t="shared" si="29"/>
        <v>3</v>
      </c>
      <c r="S80" s="37">
        <f t="shared" ca="1" si="39"/>
        <v>0</v>
      </c>
      <c r="T80" s="39">
        <f t="shared" ca="1" si="30"/>
        <v>0</v>
      </c>
      <c r="U80" s="39">
        <f t="shared" si="31"/>
        <v>1</v>
      </c>
      <c r="V80" s="37">
        <f t="shared" ca="1" si="32"/>
        <v>0</v>
      </c>
      <c r="W80" s="39">
        <f t="shared" ca="1" si="33"/>
        <v>0</v>
      </c>
      <c r="X80" s="39">
        <f t="shared" si="34"/>
        <v>2</v>
      </c>
    </row>
    <row r="81" spans="1:24" ht="14" x14ac:dyDescent="0.3">
      <c r="A81" s="293">
        <v>96</v>
      </c>
      <c r="B81" s="293" t="s">
        <v>1060</v>
      </c>
      <c r="C81" s="294" t="s">
        <v>1058</v>
      </c>
      <c r="D81" s="294" t="s">
        <v>186</v>
      </c>
      <c r="E81" s="294">
        <v>1</v>
      </c>
      <c r="F81" s="250">
        <f ca="1">VLOOKUP($D81,Data!$C:$I,7,FALSE)</f>
        <v>0</v>
      </c>
      <c r="G81" s="296" t="str">
        <f t="shared" si="26"/>
        <v>ID.RA-31</v>
      </c>
      <c r="H81" s="296" t="str">
        <f t="shared" ca="1" si="27"/>
        <v>ID.RA-310</v>
      </c>
      <c r="K81" s="249"/>
      <c r="L81" s="36" t="s">
        <v>1214</v>
      </c>
      <c r="M81" s="37">
        <f t="shared" ca="1" si="35"/>
        <v>0</v>
      </c>
      <c r="N81" s="39">
        <f t="shared" ca="1" si="36"/>
        <v>0</v>
      </c>
      <c r="O81" s="39">
        <f t="shared" si="37"/>
        <v>8</v>
      </c>
      <c r="P81" s="37">
        <f t="shared" ca="1" si="38"/>
        <v>0</v>
      </c>
      <c r="Q81" s="39">
        <f t="shared" ca="1" si="28"/>
        <v>0</v>
      </c>
      <c r="R81" s="39">
        <f t="shared" si="29"/>
        <v>2</v>
      </c>
      <c r="S81" s="37">
        <f t="shared" ca="1" si="39"/>
        <v>0</v>
      </c>
      <c r="T81" s="39">
        <f t="shared" ca="1" si="30"/>
        <v>0</v>
      </c>
      <c r="U81" s="39">
        <f t="shared" si="31"/>
        <v>3</v>
      </c>
      <c r="V81" s="37">
        <f t="shared" ca="1" si="32"/>
        <v>0</v>
      </c>
      <c r="W81" s="39">
        <f t="shared" ca="1" si="33"/>
        <v>0</v>
      </c>
      <c r="X81" s="39">
        <f t="shared" si="34"/>
        <v>3</v>
      </c>
    </row>
    <row r="82" spans="1:24" ht="14" x14ac:dyDescent="0.3">
      <c r="A82" s="293">
        <v>97</v>
      </c>
      <c r="B82" s="293" t="s">
        <v>1060</v>
      </c>
      <c r="C82" s="294" t="s">
        <v>1059</v>
      </c>
      <c r="D82" s="294" t="s">
        <v>187</v>
      </c>
      <c r="E82" s="294">
        <v>1</v>
      </c>
      <c r="F82" s="250">
        <f ca="1">VLOOKUP($D82,Data!$C:$I,7,FALSE)</f>
        <v>0</v>
      </c>
      <c r="G82" s="296" t="str">
        <f t="shared" si="26"/>
        <v>ID.RA-31</v>
      </c>
      <c r="H82" s="296" t="str">
        <f t="shared" ca="1" si="27"/>
        <v>ID.RA-310</v>
      </c>
      <c r="K82" s="249"/>
      <c r="L82" s="36" t="s">
        <v>1215</v>
      </c>
      <c r="M82" s="37">
        <f t="shared" ca="1" si="35"/>
        <v>0</v>
      </c>
      <c r="N82" s="39">
        <f t="shared" ca="1" si="36"/>
        <v>0</v>
      </c>
      <c r="O82" s="39">
        <f t="shared" si="37"/>
        <v>4</v>
      </c>
      <c r="P82" s="37">
        <f t="shared" ca="1" si="38"/>
        <v>0</v>
      </c>
      <c r="Q82" s="39">
        <f t="shared" ca="1" si="28"/>
        <v>0</v>
      </c>
      <c r="R82" s="39">
        <f t="shared" si="29"/>
        <v>1</v>
      </c>
      <c r="S82" s="37">
        <f t="shared" ca="1" si="39"/>
        <v>0</v>
      </c>
      <c r="T82" s="39">
        <f t="shared" ca="1" si="30"/>
        <v>0</v>
      </c>
      <c r="U82" s="39">
        <f t="shared" si="31"/>
        <v>1</v>
      </c>
      <c r="V82" s="37">
        <f t="shared" ca="1" si="32"/>
        <v>0</v>
      </c>
      <c r="W82" s="39">
        <f t="shared" ca="1" si="33"/>
        <v>0</v>
      </c>
      <c r="X82" s="39">
        <f t="shared" si="34"/>
        <v>2</v>
      </c>
    </row>
    <row r="83" spans="1:24" ht="14" x14ac:dyDescent="0.3">
      <c r="A83" s="293">
        <v>98</v>
      </c>
      <c r="B83" s="293" t="s">
        <v>1060</v>
      </c>
      <c r="C83" s="294" t="s">
        <v>1061</v>
      </c>
      <c r="D83" s="294" t="s">
        <v>189</v>
      </c>
      <c r="E83" s="294">
        <v>2</v>
      </c>
      <c r="F83" s="250">
        <f ca="1">VLOOKUP($D83,Data!$C:$I,7,FALSE)</f>
        <v>0</v>
      </c>
      <c r="G83" s="296" t="str">
        <f t="shared" si="26"/>
        <v>ID.RA-32</v>
      </c>
      <c r="H83" s="296" t="str">
        <f t="shared" ca="1" si="27"/>
        <v>ID.RA-320</v>
      </c>
      <c r="K83" s="249" t="s">
        <v>1266</v>
      </c>
      <c r="L83" s="36" t="s">
        <v>1002</v>
      </c>
      <c r="M83" s="37">
        <f t="shared" ca="1" si="35"/>
        <v>0</v>
      </c>
      <c r="N83" s="39">
        <f t="shared" ca="1" si="36"/>
        <v>0</v>
      </c>
      <c r="O83" s="39">
        <f t="shared" si="37"/>
        <v>2</v>
      </c>
      <c r="P83" s="37">
        <f t="shared" ca="1" si="38"/>
        <v>0</v>
      </c>
      <c r="Q83" s="39">
        <f t="shared" ca="1" si="28"/>
        <v>0</v>
      </c>
      <c r="R83" s="39">
        <f t="shared" si="29"/>
        <v>1</v>
      </c>
      <c r="S83" s="37">
        <f t="shared" ca="1" si="39"/>
        <v>0</v>
      </c>
      <c r="T83" s="39">
        <f t="shared" ca="1" si="30"/>
        <v>0</v>
      </c>
      <c r="U83" s="39">
        <f t="shared" si="31"/>
        <v>1</v>
      </c>
      <c r="V83" s="37">
        <f t="shared" si="32"/>
        <v>0</v>
      </c>
      <c r="W83" s="39">
        <f t="shared" ca="1" si="33"/>
        <v>0</v>
      </c>
      <c r="X83" s="39">
        <f t="shared" si="34"/>
        <v>0</v>
      </c>
    </row>
    <row r="84" spans="1:24" ht="14" x14ac:dyDescent="0.3">
      <c r="A84" s="293">
        <v>99</v>
      </c>
      <c r="B84" s="293" t="s">
        <v>1060</v>
      </c>
      <c r="C84" s="294" t="s">
        <v>1062</v>
      </c>
      <c r="D84" s="294" t="s">
        <v>190</v>
      </c>
      <c r="E84" s="294">
        <v>2</v>
      </c>
      <c r="F84" s="250">
        <f ca="1">VLOOKUP($D84,Data!$C:$I,7,FALSE)</f>
        <v>0</v>
      </c>
      <c r="G84" s="296" t="str">
        <f t="shared" si="26"/>
        <v>ID.RA-32</v>
      </c>
      <c r="H84" s="296" t="str">
        <f t="shared" ca="1" si="27"/>
        <v>ID.RA-320</v>
      </c>
      <c r="K84" s="249"/>
      <c r="L84" s="36" t="s">
        <v>1216</v>
      </c>
      <c r="M84" s="37">
        <f t="shared" ca="1" si="35"/>
        <v>0</v>
      </c>
      <c r="N84" s="39">
        <f t="shared" ca="1" si="36"/>
        <v>0</v>
      </c>
      <c r="O84" s="39">
        <f t="shared" si="37"/>
        <v>7</v>
      </c>
      <c r="P84" s="37">
        <f t="shared" si="38"/>
        <v>0</v>
      </c>
      <c r="Q84" s="39">
        <f t="shared" ca="1" si="28"/>
        <v>0</v>
      </c>
      <c r="R84" s="39">
        <f t="shared" si="29"/>
        <v>0</v>
      </c>
      <c r="S84" s="37">
        <f t="shared" ca="1" si="39"/>
        <v>0</v>
      </c>
      <c r="T84" s="39">
        <f t="shared" ca="1" si="30"/>
        <v>0</v>
      </c>
      <c r="U84" s="39">
        <f t="shared" si="31"/>
        <v>5</v>
      </c>
      <c r="V84" s="37">
        <f t="shared" ca="1" si="32"/>
        <v>0</v>
      </c>
      <c r="W84" s="39">
        <f t="shared" ca="1" si="33"/>
        <v>0</v>
      </c>
      <c r="X84" s="39">
        <f t="shared" si="34"/>
        <v>2</v>
      </c>
    </row>
    <row r="85" spans="1:24" ht="14" x14ac:dyDescent="0.3">
      <c r="A85" s="293">
        <v>100</v>
      </c>
      <c r="B85" s="293" t="s">
        <v>1060</v>
      </c>
      <c r="C85" s="294" t="s">
        <v>1054</v>
      </c>
      <c r="D85" s="294" t="s">
        <v>48</v>
      </c>
      <c r="E85" s="294">
        <v>2</v>
      </c>
      <c r="F85" s="250">
        <f ca="1">VLOOKUP($D85,Data!$C:$I,7,FALSE)</f>
        <v>0</v>
      </c>
      <c r="G85" s="296" t="str">
        <f t="shared" si="26"/>
        <v>ID.RA-32</v>
      </c>
      <c r="H85" s="296" t="str">
        <f t="shared" ca="1" si="27"/>
        <v>ID.RA-320</v>
      </c>
      <c r="K85" s="249"/>
      <c r="L85" s="36" t="s">
        <v>1219</v>
      </c>
      <c r="M85" s="37">
        <f t="shared" ca="1" si="35"/>
        <v>0</v>
      </c>
      <c r="N85" s="39">
        <f t="shared" ca="1" si="36"/>
        <v>0</v>
      </c>
      <c r="O85" s="39">
        <f t="shared" si="37"/>
        <v>2</v>
      </c>
      <c r="P85" s="37">
        <f t="shared" si="38"/>
        <v>0</v>
      </c>
      <c r="Q85" s="39">
        <f t="shared" ca="1" si="28"/>
        <v>0</v>
      </c>
      <c r="R85" s="39">
        <f t="shared" si="29"/>
        <v>0</v>
      </c>
      <c r="S85" s="37">
        <f t="shared" ca="1" si="39"/>
        <v>0</v>
      </c>
      <c r="T85" s="39">
        <f t="shared" ca="1" si="30"/>
        <v>0</v>
      </c>
      <c r="U85" s="39">
        <f t="shared" si="31"/>
        <v>1</v>
      </c>
      <c r="V85" s="37">
        <f t="shared" ca="1" si="32"/>
        <v>0</v>
      </c>
      <c r="W85" s="39">
        <f t="shared" ca="1" si="33"/>
        <v>0</v>
      </c>
      <c r="X85" s="39">
        <f t="shared" si="34"/>
        <v>1</v>
      </c>
    </row>
    <row r="86" spans="1:24" ht="14" x14ac:dyDescent="0.3">
      <c r="A86" s="293">
        <v>100</v>
      </c>
      <c r="B86" s="293" t="s">
        <v>1060</v>
      </c>
      <c r="C86" s="294" t="s">
        <v>1054</v>
      </c>
      <c r="D86" s="294" t="s">
        <v>61</v>
      </c>
      <c r="E86" s="295">
        <v>3</v>
      </c>
      <c r="F86" s="250">
        <f ca="1">VLOOKUP($D86,Data!$C:$I,7,FALSE)</f>
        <v>0</v>
      </c>
      <c r="G86" s="296" t="str">
        <f t="shared" si="26"/>
        <v>ID.RA-33</v>
      </c>
      <c r="H86" s="296" t="str">
        <f t="shared" ca="1" si="27"/>
        <v>ID.RA-330</v>
      </c>
      <c r="K86" s="249"/>
      <c r="L86" s="36" t="s">
        <v>1220</v>
      </c>
      <c r="M86" s="37">
        <f t="shared" ca="1" si="35"/>
        <v>0</v>
      </c>
      <c r="N86" s="39">
        <f t="shared" ca="1" si="36"/>
        <v>0</v>
      </c>
      <c r="O86" s="39">
        <f t="shared" si="37"/>
        <v>10</v>
      </c>
      <c r="P86" s="37">
        <f t="shared" ca="1" si="38"/>
        <v>0</v>
      </c>
      <c r="Q86" s="39">
        <f t="shared" ca="1" si="28"/>
        <v>0</v>
      </c>
      <c r="R86" s="39">
        <f t="shared" si="29"/>
        <v>3</v>
      </c>
      <c r="S86" s="37">
        <f t="shared" ca="1" si="39"/>
        <v>0</v>
      </c>
      <c r="T86" s="39">
        <f t="shared" ca="1" si="30"/>
        <v>0</v>
      </c>
      <c r="U86" s="39">
        <f t="shared" si="31"/>
        <v>2</v>
      </c>
      <c r="V86" s="37">
        <f t="shared" ca="1" si="32"/>
        <v>0</v>
      </c>
      <c r="W86" s="39">
        <f t="shared" ca="1" si="33"/>
        <v>0</v>
      </c>
      <c r="X86" s="39">
        <f t="shared" si="34"/>
        <v>5</v>
      </c>
    </row>
    <row r="87" spans="1:24" ht="14" x14ac:dyDescent="0.3">
      <c r="A87" s="293">
        <v>102</v>
      </c>
      <c r="B87" s="293" t="s">
        <v>1063</v>
      </c>
      <c r="C87" s="294" t="s">
        <v>1061</v>
      </c>
      <c r="D87" s="294" t="s">
        <v>189</v>
      </c>
      <c r="E87" s="294">
        <v>2</v>
      </c>
      <c r="F87" s="250">
        <f ca="1">VLOOKUP($D87,Data!$C:$I,7,FALSE)</f>
        <v>0</v>
      </c>
      <c r="G87" s="296" t="str">
        <f t="shared" si="26"/>
        <v>ID.RA-42</v>
      </c>
      <c r="H87" s="296" t="str">
        <f t="shared" ca="1" si="27"/>
        <v>ID.RA-420</v>
      </c>
      <c r="K87" s="249"/>
      <c r="L87" s="36" t="s">
        <v>1223</v>
      </c>
      <c r="M87" s="37">
        <f t="shared" ca="1" si="35"/>
        <v>0</v>
      </c>
      <c r="N87" s="39">
        <f t="shared" ca="1" si="36"/>
        <v>0</v>
      </c>
      <c r="O87" s="39">
        <f t="shared" si="37"/>
        <v>1</v>
      </c>
      <c r="P87" s="37">
        <f t="shared" si="38"/>
        <v>0</v>
      </c>
      <c r="Q87" s="39">
        <f t="shared" ca="1" si="28"/>
        <v>0</v>
      </c>
      <c r="R87" s="39">
        <f t="shared" si="29"/>
        <v>0</v>
      </c>
      <c r="S87" s="37">
        <f t="shared" si="39"/>
        <v>0</v>
      </c>
      <c r="T87" s="39">
        <f t="shared" ca="1" si="30"/>
        <v>0</v>
      </c>
      <c r="U87" s="39">
        <f t="shared" si="31"/>
        <v>0</v>
      </c>
      <c r="V87" s="37">
        <f t="shared" ca="1" si="32"/>
        <v>0</v>
      </c>
      <c r="W87" s="39">
        <f t="shared" ca="1" si="33"/>
        <v>0</v>
      </c>
      <c r="X87" s="39">
        <f t="shared" si="34"/>
        <v>1</v>
      </c>
    </row>
    <row r="88" spans="1:24" ht="14" x14ac:dyDescent="0.3">
      <c r="A88" s="293">
        <v>103</v>
      </c>
      <c r="B88" s="293" t="s">
        <v>1063</v>
      </c>
      <c r="C88" s="294" t="s">
        <v>1064</v>
      </c>
      <c r="D88" s="294" t="s">
        <v>191</v>
      </c>
      <c r="E88" s="294">
        <v>2</v>
      </c>
      <c r="F88" s="250">
        <f ca="1">VLOOKUP($D88,Data!$C:$I,7,FALSE)</f>
        <v>0</v>
      </c>
      <c r="G88" s="296" t="str">
        <f t="shared" si="26"/>
        <v>ID.RA-42</v>
      </c>
      <c r="H88" s="296" t="str">
        <f t="shared" ca="1" si="27"/>
        <v>ID.RA-420</v>
      </c>
      <c r="K88" s="249" t="s">
        <v>1267</v>
      </c>
      <c r="L88" s="36" t="s">
        <v>1224</v>
      </c>
      <c r="M88" s="37">
        <f t="shared" ca="1" si="35"/>
        <v>0</v>
      </c>
      <c r="N88" s="39">
        <f t="shared" ca="1" si="36"/>
        <v>0</v>
      </c>
      <c r="O88" s="39">
        <f t="shared" si="37"/>
        <v>1</v>
      </c>
      <c r="P88" s="37">
        <f t="shared" si="38"/>
        <v>0</v>
      </c>
      <c r="Q88" s="39">
        <f t="shared" ca="1" si="28"/>
        <v>0</v>
      </c>
      <c r="R88" s="39">
        <f t="shared" si="29"/>
        <v>0</v>
      </c>
      <c r="S88" s="37">
        <f t="shared" ca="1" si="39"/>
        <v>0</v>
      </c>
      <c r="T88" s="39">
        <f t="shared" ca="1" si="30"/>
        <v>0</v>
      </c>
      <c r="U88" s="39">
        <f t="shared" si="31"/>
        <v>1</v>
      </c>
      <c r="V88" s="37">
        <f t="shared" si="32"/>
        <v>0</v>
      </c>
      <c r="W88" s="39">
        <f t="shared" ca="1" si="33"/>
        <v>0</v>
      </c>
      <c r="X88" s="39">
        <f t="shared" si="34"/>
        <v>0</v>
      </c>
    </row>
    <row r="89" spans="1:24" ht="14" x14ac:dyDescent="0.3">
      <c r="A89" s="293">
        <v>104</v>
      </c>
      <c r="B89" s="293" t="s">
        <v>1063</v>
      </c>
      <c r="C89" s="294" t="s">
        <v>1017</v>
      </c>
      <c r="D89" s="294" t="s">
        <v>65</v>
      </c>
      <c r="E89" s="294">
        <v>2</v>
      </c>
      <c r="F89" s="250">
        <f ca="1">VLOOKUP($D89,Data!$C:$I,7,FALSE)</f>
        <v>0</v>
      </c>
      <c r="G89" s="296" t="str">
        <f t="shared" si="26"/>
        <v>ID.RA-42</v>
      </c>
      <c r="H89" s="296" t="str">
        <f t="shared" ca="1" si="27"/>
        <v>ID.RA-420</v>
      </c>
      <c r="K89" s="249" t="s">
        <v>1268</v>
      </c>
      <c r="L89" s="36" t="s">
        <v>1226</v>
      </c>
      <c r="M89" s="37">
        <f t="shared" ca="1" si="35"/>
        <v>0</v>
      </c>
      <c r="N89" s="39">
        <f t="shared" ca="1" si="36"/>
        <v>0</v>
      </c>
      <c r="O89" s="39">
        <f t="shared" si="37"/>
        <v>1</v>
      </c>
      <c r="P89" s="37">
        <f t="shared" ca="1" si="38"/>
        <v>0</v>
      </c>
      <c r="Q89" s="39">
        <f t="shared" ca="1" si="28"/>
        <v>0</v>
      </c>
      <c r="R89" s="39">
        <f t="shared" si="29"/>
        <v>1</v>
      </c>
      <c r="S89" s="37">
        <f t="shared" si="39"/>
        <v>0</v>
      </c>
      <c r="T89" s="39">
        <f t="shared" ca="1" si="30"/>
        <v>0</v>
      </c>
      <c r="U89" s="39">
        <f t="shared" si="31"/>
        <v>0</v>
      </c>
      <c r="V89" s="37">
        <f t="shared" si="32"/>
        <v>0</v>
      </c>
      <c r="W89" s="39">
        <f t="shared" ca="1" si="33"/>
        <v>0</v>
      </c>
      <c r="X89" s="39">
        <f t="shared" si="34"/>
        <v>0</v>
      </c>
    </row>
    <row r="90" spans="1:24" ht="14" x14ac:dyDescent="0.3">
      <c r="A90" s="293">
        <v>106</v>
      </c>
      <c r="B90" s="293" t="s">
        <v>1065</v>
      </c>
      <c r="C90" s="294" t="s">
        <v>1017</v>
      </c>
      <c r="D90" s="294" t="s">
        <v>65</v>
      </c>
      <c r="E90" s="294">
        <v>2</v>
      </c>
      <c r="F90" s="250">
        <f ca="1">VLOOKUP($D90,Data!$C:$I,7,FALSE)</f>
        <v>0</v>
      </c>
      <c r="G90" s="296" t="str">
        <f t="shared" si="26"/>
        <v>ID.RA-52</v>
      </c>
      <c r="H90" s="296" t="str">
        <f t="shared" ca="1" si="27"/>
        <v>ID.RA-520</v>
      </c>
      <c r="K90" s="249"/>
      <c r="L90" s="36" t="s">
        <v>1228</v>
      </c>
      <c r="M90" s="37">
        <f t="shared" ca="1" si="35"/>
        <v>0</v>
      </c>
      <c r="N90" s="39">
        <f t="shared" ca="1" si="36"/>
        <v>0</v>
      </c>
      <c r="O90" s="39">
        <f t="shared" si="37"/>
        <v>4</v>
      </c>
      <c r="P90" s="37">
        <f t="shared" ca="1" si="38"/>
        <v>0</v>
      </c>
      <c r="Q90" s="39">
        <f t="shared" ca="1" si="28"/>
        <v>0</v>
      </c>
      <c r="R90" s="39">
        <f t="shared" si="29"/>
        <v>2</v>
      </c>
      <c r="S90" s="37">
        <f t="shared" ca="1" si="39"/>
        <v>0</v>
      </c>
      <c r="T90" s="39">
        <f t="shared" ca="1" si="30"/>
        <v>0</v>
      </c>
      <c r="U90" s="39">
        <f t="shared" si="31"/>
        <v>2</v>
      </c>
      <c r="V90" s="37">
        <f t="shared" si="32"/>
        <v>0</v>
      </c>
      <c r="W90" s="39">
        <f t="shared" ca="1" si="33"/>
        <v>0</v>
      </c>
      <c r="X90" s="39">
        <f t="shared" si="34"/>
        <v>0</v>
      </c>
    </row>
    <row r="91" spans="1:24" ht="14" x14ac:dyDescent="0.3">
      <c r="A91" s="293">
        <v>107</v>
      </c>
      <c r="B91" s="293" t="s">
        <v>1065</v>
      </c>
      <c r="C91" s="294" t="s">
        <v>1054</v>
      </c>
      <c r="D91" s="294" t="s">
        <v>48</v>
      </c>
      <c r="E91" s="294">
        <v>2</v>
      </c>
      <c r="F91" s="250">
        <f ca="1">VLOOKUP($D91,Data!$C:$I,7,FALSE)</f>
        <v>0</v>
      </c>
      <c r="G91" s="296" t="str">
        <f t="shared" si="26"/>
        <v>ID.RA-52</v>
      </c>
      <c r="H91" s="296" t="str">
        <f t="shared" ca="1" si="27"/>
        <v>ID.RA-520</v>
      </c>
      <c r="K91" s="249"/>
      <c r="L91" s="36" t="s">
        <v>1229</v>
      </c>
      <c r="M91" s="37">
        <f t="shared" ca="1" si="35"/>
        <v>0</v>
      </c>
      <c r="N91" s="39">
        <f t="shared" ca="1" si="36"/>
        <v>0</v>
      </c>
      <c r="O91" s="39">
        <f t="shared" si="37"/>
        <v>11</v>
      </c>
      <c r="P91" s="37">
        <f t="shared" si="38"/>
        <v>0</v>
      </c>
      <c r="Q91" s="39">
        <f t="shared" ca="1" si="28"/>
        <v>0</v>
      </c>
      <c r="R91" s="39">
        <f t="shared" si="29"/>
        <v>0</v>
      </c>
      <c r="S91" s="37">
        <f t="shared" ca="1" si="39"/>
        <v>0</v>
      </c>
      <c r="T91" s="39">
        <f t="shared" ca="1" si="30"/>
        <v>0</v>
      </c>
      <c r="U91" s="39">
        <f t="shared" si="31"/>
        <v>5</v>
      </c>
      <c r="V91" s="37">
        <f t="shared" ca="1" si="32"/>
        <v>0</v>
      </c>
      <c r="W91" s="39">
        <f t="shared" ca="1" si="33"/>
        <v>0</v>
      </c>
      <c r="X91" s="39">
        <f t="shared" si="34"/>
        <v>6</v>
      </c>
    </row>
    <row r="92" spans="1:24" ht="14" x14ac:dyDescent="0.3">
      <c r="A92" s="293">
        <v>107</v>
      </c>
      <c r="B92" s="293" t="s">
        <v>1065</v>
      </c>
      <c r="C92" s="294" t="s">
        <v>1054</v>
      </c>
      <c r="D92" s="294" t="s">
        <v>61</v>
      </c>
      <c r="E92" s="295">
        <v>3</v>
      </c>
      <c r="F92" s="250">
        <f ca="1">VLOOKUP($D92,Data!$C:$I,7,FALSE)</f>
        <v>0</v>
      </c>
      <c r="G92" s="296" t="str">
        <f t="shared" si="26"/>
        <v>ID.RA-53</v>
      </c>
      <c r="H92" s="296" t="str">
        <f t="shared" ca="1" si="27"/>
        <v>ID.RA-530</v>
      </c>
      <c r="K92" s="249"/>
      <c r="L92" s="36" t="s">
        <v>1231</v>
      </c>
      <c r="M92" s="37">
        <f t="shared" ca="1" si="35"/>
        <v>0</v>
      </c>
      <c r="N92" s="39">
        <f t="shared" ca="1" si="36"/>
        <v>0</v>
      </c>
      <c r="O92" s="39">
        <f t="shared" si="37"/>
        <v>3</v>
      </c>
      <c r="P92" s="37">
        <f t="shared" si="38"/>
        <v>0</v>
      </c>
      <c r="Q92" s="39">
        <f t="shared" ca="1" si="28"/>
        <v>0</v>
      </c>
      <c r="R92" s="39">
        <f t="shared" si="29"/>
        <v>0</v>
      </c>
      <c r="S92" s="37">
        <f t="shared" ca="1" si="39"/>
        <v>0</v>
      </c>
      <c r="T92" s="39">
        <f t="shared" ca="1" si="30"/>
        <v>0</v>
      </c>
      <c r="U92" s="39">
        <f t="shared" si="31"/>
        <v>3</v>
      </c>
      <c r="V92" s="37">
        <f t="shared" si="32"/>
        <v>0</v>
      </c>
      <c r="W92" s="39">
        <f t="shared" ca="1" si="33"/>
        <v>0</v>
      </c>
      <c r="X92" s="39">
        <f t="shared" si="34"/>
        <v>0</v>
      </c>
    </row>
    <row r="93" spans="1:24" ht="14" x14ac:dyDescent="0.3">
      <c r="A93" s="293">
        <v>109</v>
      </c>
      <c r="B93" s="293" t="s">
        <v>1066</v>
      </c>
      <c r="C93" s="294" t="s">
        <v>1067</v>
      </c>
      <c r="D93" s="294" t="s">
        <v>50</v>
      </c>
      <c r="E93" s="294">
        <v>2</v>
      </c>
      <c r="F93" s="250">
        <f ca="1">VLOOKUP($D93,Data!$C:$I,7,FALSE)</f>
        <v>0</v>
      </c>
      <c r="G93" s="296" t="str">
        <f t="shared" si="26"/>
        <v>ID.RA-62</v>
      </c>
      <c r="H93" s="296" t="str">
        <f t="shared" ca="1" si="27"/>
        <v>ID.RA-620</v>
      </c>
      <c r="K93" s="249"/>
      <c r="L93" s="36" t="s">
        <v>1232</v>
      </c>
      <c r="M93" s="37">
        <f t="shared" ca="1" si="35"/>
        <v>0</v>
      </c>
      <c r="N93" s="39">
        <f t="shared" ca="1" si="36"/>
        <v>0</v>
      </c>
      <c r="O93" s="39">
        <f t="shared" si="37"/>
        <v>7</v>
      </c>
      <c r="P93" s="37">
        <f t="shared" ca="1" si="38"/>
        <v>0</v>
      </c>
      <c r="Q93" s="39">
        <f t="shared" ca="1" si="28"/>
        <v>0</v>
      </c>
      <c r="R93" s="39">
        <f t="shared" si="29"/>
        <v>2</v>
      </c>
      <c r="S93" s="37">
        <f t="shared" ca="1" si="39"/>
        <v>0</v>
      </c>
      <c r="T93" s="39">
        <f t="shared" ca="1" si="30"/>
        <v>0</v>
      </c>
      <c r="U93" s="39">
        <f t="shared" si="31"/>
        <v>2</v>
      </c>
      <c r="V93" s="37">
        <f t="shared" ca="1" si="32"/>
        <v>0</v>
      </c>
      <c r="W93" s="39">
        <f t="shared" ca="1" si="33"/>
        <v>0</v>
      </c>
      <c r="X93" s="39">
        <f t="shared" si="34"/>
        <v>3</v>
      </c>
    </row>
    <row r="94" spans="1:24" ht="14" x14ac:dyDescent="0.3">
      <c r="A94" s="293">
        <v>110</v>
      </c>
      <c r="B94" s="293" t="s">
        <v>1066</v>
      </c>
      <c r="C94" s="294" t="s">
        <v>1061</v>
      </c>
      <c r="D94" s="294" t="s">
        <v>189</v>
      </c>
      <c r="E94" s="294">
        <v>2</v>
      </c>
      <c r="F94" s="250">
        <f ca="1">VLOOKUP($D94,Data!$C:$I,7,FALSE)</f>
        <v>0</v>
      </c>
      <c r="G94" s="296" t="str">
        <f t="shared" si="26"/>
        <v>ID.RA-62</v>
      </c>
      <c r="H94" s="296" t="str">
        <f t="shared" ca="1" si="27"/>
        <v>ID.RA-620</v>
      </c>
      <c r="K94" s="249" t="s">
        <v>1269</v>
      </c>
      <c r="L94" s="36" t="s">
        <v>1233</v>
      </c>
      <c r="M94" s="37">
        <f t="shared" ca="1" si="35"/>
        <v>0</v>
      </c>
      <c r="N94" s="39">
        <f t="shared" ca="1" si="36"/>
        <v>0</v>
      </c>
      <c r="O94" s="39">
        <f t="shared" si="37"/>
        <v>2</v>
      </c>
      <c r="P94" s="37">
        <f t="shared" si="38"/>
        <v>0</v>
      </c>
      <c r="Q94" s="39">
        <f t="shared" ca="1" si="28"/>
        <v>0</v>
      </c>
      <c r="R94" s="39">
        <f t="shared" si="29"/>
        <v>0</v>
      </c>
      <c r="S94" s="37">
        <f t="shared" ca="1" si="39"/>
        <v>0</v>
      </c>
      <c r="T94" s="39">
        <f t="shared" ca="1" si="30"/>
        <v>0</v>
      </c>
      <c r="U94" s="39">
        <f t="shared" si="31"/>
        <v>1</v>
      </c>
      <c r="V94" s="37">
        <f t="shared" ca="1" si="32"/>
        <v>0</v>
      </c>
      <c r="W94" s="39">
        <f t="shared" ca="1" si="33"/>
        <v>0</v>
      </c>
      <c r="X94" s="39">
        <f t="shared" si="34"/>
        <v>1</v>
      </c>
    </row>
    <row r="95" spans="1:24" ht="14" x14ac:dyDescent="0.3">
      <c r="A95" s="293">
        <v>111</v>
      </c>
      <c r="B95" s="293" t="s">
        <v>1066</v>
      </c>
      <c r="C95" s="294" t="s">
        <v>1017</v>
      </c>
      <c r="D95" s="294" t="s">
        <v>65</v>
      </c>
      <c r="E95" s="294">
        <v>2</v>
      </c>
      <c r="F95" s="250">
        <f ca="1">VLOOKUP($D95,Data!$C:$I,7,FALSE)</f>
        <v>0</v>
      </c>
      <c r="G95" s="296" t="str">
        <f t="shared" si="26"/>
        <v>ID.RA-62</v>
      </c>
      <c r="H95" s="296" t="str">
        <f t="shared" ca="1" si="27"/>
        <v>ID.RA-620</v>
      </c>
      <c r="K95" s="249"/>
      <c r="L95" s="36" t="s">
        <v>1234</v>
      </c>
      <c r="M95" s="37">
        <f t="shared" ca="1" si="35"/>
        <v>0</v>
      </c>
      <c r="N95" s="39">
        <f t="shared" ca="1" si="36"/>
        <v>0</v>
      </c>
      <c r="O95" s="39">
        <f t="shared" si="37"/>
        <v>5</v>
      </c>
      <c r="P95" s="37">
        <f t="shared" si="38"/>
        <v>0</v>
      </c>
      <c r="Q95" s="39">
        <f t="shared" ca="1" si="28"/>
        <v>0</v>
      </c>
      <c r="R95" s="39">
        <f t="shared" si="29"/>
        <v>0</v>
      </c>
      <c r="S95" s="37">
        <f t="shared" ca="1" si="39"/>
        <v>0</v>
      </c>
      <c r="T95" s="39">
        <f t="shared" ca="1" si="30"/>
        <v>0</v>
      </c>
      <c r="U95" s="39">
        <f t="shared" si="31"/>
        <v>3</v>
      </c>
      <c r="V95" s="37">
        <f t="shared" ca="1" si="32"/>
        <v>0</v>
      </c>
      <c r="W95" s="39">
        <f t="shared" ca="1" si="33"/>
        <v>0</v>
      </c>
      <c r="X95" s="39">
        <f t="shared" si="34"/>
        <v>2</v>
      </c>
    </row>
    <row r="96" spans="1:24" ht="14" x14ac:dyDescent="0.3">
      <c r="A96" s="293">
        <v>112</v>
      </c>
      <c r="B96" s="293" t="s">
        <v>1066</v>
      </c>
      <c r="C96" s="294" t="s">
        <v>1054</v>
      </c>
      <c r="D96" s="294" t="s">
        <v>48</v>
      </c>
      <c r="E96" s="294">
        <v>2</v>
      </c>
      <c r="F96" s="250">
        <f ca="1">VLOOKUP($D96,Data!$C:$I,7,FALSE)</f>
        <v>0</v>
      </c>
      <c r="G96" s="296" t="str">
        <f t="shared" si="26"/>
        <v>ID.RA-62</v>
      </c>
      <c r="H96" s="296" t="str">
        <f t="shared" ca="1" si="27"/>
        <v>ID.RA-620</v>
      </c>
      <c r="K96" s="249"/>
      <c r="L96" s="36" t="s">
        <v>1235</v>
      </c>
      <c r="M96" s="37">
        <f t="shared" ca="1" si="35"/>
        <v>0</v>
      </c>
      <c r="N96" s="39">
        <f t="shared" ca="1" si="36"/>
        <v>0</v>
      </c>
      <c r="O96" s="39">
        <f t="shared" si="37"/>
        <v>3</v>
      </c>
      <c r="P96" s="37">
        <f t="shared" si="38"/>
        <v>0</v>
      </c>
      <c r="Q96" s="39">
        <f t="shared" ca="1" si="28"/>
        <v>0</v>
      </c>
      <c r="R96" s="39">
        <f t="shared" si="29"/>
        <v>0</v>
      </c>
      <c r="S96" s="37">
        <f t="shared" ca="1" si="39"/>
        <v>0</v>
      </c>
      <c r="T96" s="39">
        <f t="shared" ca="1" si="30"/>
        <v>0</v>
      </c>
      <c r="U96" s="39">
        <f t="shared" si="31"/>
        <v>1</v>
      </c>
      <c r="V96" s="37">
        <f t="shared" ca="1" si="32"/>
        <v>0</v>
      </c>
      <c r="W96" s="39">
        <f t="shared" ca="1" si="33"/>
        <v>0</v>
      </c>
      <c r="X96" s="39">
        <f t="shared" si="34"/>
        <v>2</v>
      </c>
    </row>
    <row r="97" spans="1:24" ht="14" x14ac:dyDescent="0.3">
      <c r="A97" s="293">
        <v>112</v>
      </c>
      <c r="B97" s="293" t="s">
        <v>1066</v>
      </c>
      <c r="C97" s="294" t="s">
        <v>1054</v>
      </c>
      <c r="D97" s="294" t="s">
        <v>61</v>
      </c>
      <c r="E97" s="295">
        <v>3</v>
      </c>
      <c r="F97" s="250">
        <f ca="1">VLOOKUP($D97,Data!$C:$I,7,FALSE)</f>
        <v>0</v>
      </c>
      <c r="G97" s="296" t="str">
        <f t="shared" si="26"/>
        <v>ID.RA-63</v>
      </c>
      <c r="H97" s="296" t="str">
        <f t="shared" ca="1" si="27"/>
        <v>ID.RA-630</v>
      </c>
      <c r="K97" s="249"/>
      <c r="L97" s="36" t="s">
        <v>1236</v>
      </c>
      <c r="M97" s="37">
        <f t="shared" ca="1" si="35"/>
        <v>0</v>
      </c>
      <c r="N97" s="39">
        <f t="shared" ca="1" si="36"/>
        <v>0</v>
      </c>
      <c r="O97" s="39">
        <f t="shared" si="37"/>
        <v>4</v>
      </c>
      <c r="P97" s="37">
        <f t="shared" ca="1" si="38"/>
        <v>0</v>
      </c>
      <c r="Q97" s="39">
        <f t="shared" ca="1" si="28"/>
        <v>0</v>
      </c>
      <c r="R97" s="39">
        <f t="shared" si="29"/>
        <v>1</v>
      </c>
      <c r="S97" s="37">
        <f t="shared" ca="1" si="39"/>
        <v>0</v>
      </c>
      <c r="T97" s="39">
        <f t="shared" ca="1" si="30"/>
        <v>0</v>
      </c>
      <c r="U97" s="39">
        <f t="shared" si="31"/>
        <v>2</v>
      </c>
      <c r="V97" s="37">
        <f t="shared" ca="1" si="32"/>
        <v>0</v>
      </c>
      <c r="W97" s="39">
        <f t="shared" ca="1" si="33"/>
        <v>0</v>
      </c>
      <c r="X97" s="39">
        <f t="shared" si="34"/>
        <v>1</v>
      </c>
    </row>
    <row r="98" spans="1:24" ht="14" x14ac:dyDescent="0.3">
      <c r="A98" s="293">
        <v>114</v>
      </c>
      <c r="B98" s="293" t="s">
        <v>1068</v>
      </c>
      <c r="C98" s="294" t="s">
        <v>1044</v>
      </c>
      <c r="D98" s="294" t="s">
        <v>44</v>
      </c>
      <c r="E98" s="294">
        <v>1</v>
      </c>
      <c r="F98" s="250">
        <f ca="1">VLOOKUP($D98,Data!$C:$I,7,FALSE)</f>
        <v>0</v>
      </c>
      <c r="G98" s="296" t="str">
        <f t="shared" si="26"/>
        <v>ID.RM-11</v>
      </c>
      <c r="H98" s="296" t="str">
        <f t="shared" ca="1" si="27"/>
        <v>ID.RM-110</v>
      </c>
      <c r="K98" s="249"/>
      <c r="L98" s="36" t="s">
        <v>1237</v>
      </c>
      <c r="M98" s="37">
        <f t="shared" ca="1" si="35"/>
        <v>0</v>
      </c>
      <c r="N98" s="39">
        <f t="shared" ca="1" si="36"/>
        <v>0</v>
      </c>
      <c r="O98" s="39">
        <f t="shared" si="37"/>
        <v>11</v>
      </c>
      <c r="P98" s="37">
        <f t="shared" ca="1" si="38"/>
        <v>0</v>
      </c>
      <c r="Q98" s="39">
        <f t="shared" ref="Q98:Q109" ca="1" si="40">COUNTIF($H:$H,CONCATENATE($L98,P$1,1))</f>
        <v>0</v>
      </c>
      <c r="R98" s="39">
        <f t="shared" ref="R98:R109" si="41">COUNTIF($G:$G,CONCATENATE($L98,P$1))</f>
        <v>4</v>
      </c>
      <c r="S98" s="37">
        <f t="shared" ca="1" si="39"/>
        <v>0</v>
      </c>
      <c r="T98" s="39">
        <f t="shared" ref="T98:T109" ca="1" si="42">COUNTIF($H:$H,CONCATENATE($L98,S$1,1))</f>
        <v>0</v>
      </c>
      <c r="U98" s="39">
        <f t="shared" ref="U98:U109" si="43">COUNTIF($G:$G,CONCATENATE($L98,S$1))</f>
        <v>3</v>
      </c>
      <c r="V98" s="37">
        <f t="shared" ca="1" si="32"/>
        <v>0</v>
      </c>
      <c r="W98" s="39">
        <f t="shared" ref="W98:W109" ca="1" si="44">COUNTIF($H:$H,CONCATENATE($L98,V$1,1))</f>
        <v>0</v>
      </c>
      <c r="X98" s="39">
        <f t="shared" ref="X98:X109" si="45">COUNTIF($G:$G,CONCATENATE($L98,V$1))</f>
        <v>4</v>
      </c>
    </row>
    <row r="99" spans="1:24" ht="14" x14ac:dyDescent="0.3">
      <c r="A99" s="293">
        <v>115</v>
      </c>
      <c r="B99" s="293" t="s">
        <v>1068</v>
      </c>
      <c r="C99" s="294" t="s">
        <v>1045</v>
      </c>
      <c r="D99" s="294" t="s">
        <v>45</v>
      </c>
      <c r="E99" s="294">
        <v>1</v>
      </c>
      <c r="F99" s="250">
        <f ca="1">VLOOKUP($D99,Data!$C:$I,7,FALSE)</f>
        <v>0</v>
      </c>
      <c r="G99" s="296" t="str">
        <f t="shared" si="26"/>
        <v>ID.RM-11</v>
      </c>
      <c r="H99" s="296" t="str">
        <f t="shared" ca="1" si="27"/>
        <v>ID.RM-110</v>
      </c>
      <c r="K99" s="249" t="s">
        <v>1270</v>
      </c>
      <c r="L99" s="36" t="s">
        <v>1239</v>
      </c>
      <c r="M99" s="37">
        <f t="shared" ca="1" si="35"/>
        <v>0</v>
      </c>
      <c r="N99" s="39">
        <f t="shared" ca="1" si="36"/>
        <v>0</v>
      </c>
      <c r="O99" s="39">
        <f t="shared" si="37"/>
        <v>1</v>
      </c>
      <c r="P99" s="37">
        <f t="shared" ca="1" si="38"/>
        <v>0</v>
      </c>
      <c r="Q99" s="39">
        <f t="shared" ca="1" si="40"/>
        <v>0</v>
      </c>
      <c r="R99" s="39">
        <f t="shared" si="41"/>
        <v>1</v>
      </c>
      <c r="S99" s="37">
        <f t="shared" si="39"/>
        <v>0</v>
      </c>
      <c r="T99" s="39">
        <f t="shared" ca="1" si="42"/>
        <v>0</v>
      </c>
      <c r="U99" s="39">
        <f t="shared" si="43"/>
        <v>0</v>
      </c>
      <c r="V99" s="37">
        <f t="shared" si="32"/>
        <v>0</v>
      </c>
      <c r="W99" s="39">
        <f t="shared" ca="1" si="44"/>
        <v>0</v>
      </c>
      <c r="X99" s="39">
        <f t="shared" si="45"/>
        <v>0</v>
      </c>
    </row>
    <row r="100" spans="1:24" ht="14" x14ac:dyDescent="0.3">
      <c r="A100" s="293">
        <v>116</v>
      </c>
      <c r="B100" s="293" t="s">
        <v>1068</v>
      </c>
      <c r="C100" s="294" t="s">
        <v>1069</v>
      </c>
      <c r="D100" s="294" t="s">
        <v>63</v>
      </c>
      <c r="E100" s="294">
        <v>2</v>
      </c>
      <c r="F100" s="250">
        <f ca="1">VLOOKUP($D100,Data!$C:$I,7,FALSE)</f>
        <v>0</v>
      </c>
      <c r="G100" s="296" t="str">
        <f t="shared" si="26"/>
        <v>ID.RM-12</v>
      </c>
      <c r="H100" s="296" t="str">
        <f t="shared" ca="1" si="27"/>
        <v>ID.RM-120</v>
      </c>
      <c r="K100" s="249"/>
      <c r="L100" s="36" t="s">
        <v>1241</v>
      </c>
      <c r="M100" s="37">
        <f t="shared" ca="1" si="35"/>
        <v>0</v>
      </c>
      <c r="N100" s="39">
        <f t="shared" ca="1" si="36"/>
        <v>0</v>
      </c>
      <c r="O100" s="39">
        <f t="shared" si="37"/>
        <v>1</v>
      </c>
      <c r="P100" s="37">
        <f t="shared" ca="1" si="38"/>
        <v>0</v>
      </c>
      <c r="Q100" s="39">
        <f t="shared" ca="1" si="40"/>
        <v>0</v>
      </c>
      <c r="R100" s="39">
        <f t="shared" si="41"/>
        <v>1</v>
      </c>
      <c r="S100" s="37">
        <f t="shared" si="39"/>
        <v>0</v>
      </c>
      <c r="T100" s="39">
        <f t="shared" ca="1" si="42"/>
        <v>0</v>
      </c>
      <c r="U100" s="39">
        <f t="shared" si="43"/>
        <v>0</v>
      </c>
      <c r="V100" s="37">
        <f t="shared" si="32"/>
        <v>0</v>
      </c>
      <c r="W100" s="39">
        <f t="shared" ca="1" si="44"/>
        <v>0</v>
      </c>
      <c r="X100" s="39">
        <f t="shared" si="45"/>
        <v>0</v>
      </c>
    </row>
    <row r="101" spans="1:24" ht="14" x14ac:dyDescent="0.3">
      <c r="A101" s="293">
        <v>118</v>
      </c>
      <c r="B101" s="293" t="s">
        <v>1068</v>
      </c>
      <c r="C101" s="294" t="s">
        <v>1070</v>
      </c>
      <c r="D101" s="294" t="s">
        <v>46</v>
      </c>
      <c r="E101" s="294">
        <v>2</v>
      </c>
      <c r="F101" s="250">
        <f ca="1">VLOOKUP($D101,Data!$C:$I,7,FALSE)</f>
        <v>0</v>
      </c>
      <c r="G101" s="296" t="str">
        <f t="shared" si="26"/>
        <v>ID.RM-12</v>
      </c>
      <c r="H101" s="296" t="str">
        <f t="shared" ca="1" si="27"/>
        <v>ID.RM-120</v>
      </c>
      <c r="K101" s="249"/>
      <c r="L101" s="36" t="s">
        <v>1242</v>
      </c>
      <c r="M101" s="37">
        <f t="shared" ca="1" si="35"/>
        <v>0</v>
      </c>
      <c r="N101" s="39">
        <f t="shared" ca="1" si="36"/>
        <v>0</v>
      </c>
      <c r="O101" s="39">
        <f t="shared" si="37"/>
        <v>5</v>
      </c>
      <c r="P101" s="37">
        <f t="shared" ca="1" si="38"/>
        <v>0</v>
      </c>
      <c r="Q101" s="39">
        <f t="shared" ca="1" si="40"/>
        <v>0</v>
      </c>
      <c r="R101" s="39">
        <f t="shared" si="41"/>
        <v>1</v>
      </c>
      <c r="S101" s="37">
        <f t="shared" ca="1" si="39"/>
        <v>0</v>
      </c>
      <c r="T101" s="39">
        <f t="shared" ca="1" si="42"/>
        <v>0</v>
      </c>
      <c r="U101" s="39">
        <f t="shared" si="43"/>
        <v>2</v>
      </c>
      <c r="V101" s="37">
        <f t="shared" ca="1" si="32"/>
        <v>0</v>
      </c>
      <c r="W101" s="39">
        <f t="shared" ca="1" si="44"/>
        <v>0</v>
      </c>
      <c r="X101" s="39">
        <f t="shared" si="45"/>
        <v>2</v>
      </c>
    </row>
    <row r="102" spans="1:24" ht="14" x14ac:dyDescent="0.3">
      <c r="A102" s="293">
        <v>118</v>
      </c>
      <c r="B102" s="293" t="s">
        <v>1068</v>
      </c>
      <c r="C102" s="294" t="s">
        <v>1070</v>
      </c>
      <c r="D102" s="294" t="s">
        <v>54</v>
      </c>
      <c r="E102" s="295">
        <v>3</v>
      </c>
      <c r="F102" s="250">
        <f ca="1">VLOOKUP($D102,Data!$C:$I,7,FALSE)</f>
        <v>0</v>
      </c>
      <c r="G102" s="296" t="str">
        <f t="shared" si="26"/>
        <v>ID.RM-13</v>
      </c>
      <c r="H102" s="296" t="str">
        <f t="shared" ca="1" si="27"/>
        <v>ID.RM-130</v>
      </c>
      <c r="K102" s="249" t="s">
        <v>1271</v>
      </c>
      <c r="L102" s="36" t="s">
        <v>1243</v>
      </c>
      <c r="M102" s="37">
        <f t="shared" ca="1" si="35"/>
        <v>0</v>
      </c>
      <c r="N102" s="39">
        <f t="shared" ca="1" si="36"/>
        <v>0</v>
      </c>
      <c r="O102" s="39">
        <f t="shared" si="37"/>
        <v>1</v>
      </c>
      <c r="P102" s="37">
        <f t="shared" si="38"/>
        <v>0</v>
      </c>
      <c r="Q102" s="39">
        <f t="shared" ca="1" si="40"/>
        <v>0</v>
      </c>
      <c r="R102" s="39">
        <f t="shared" si="41"/>
        <v>0</v>
      </c>
      <c r="S102" s="37">
        <f t="shared" si="39"/>
        <v>0</v>
      </c>
      <c r="T102" s="39">
        <f t="shared" ca="1" si="42"/>
        <v>0</v>
      </c>
      <c r="U102" s="39">
        <f t="shared" si="43"/>
        <v>0</v>
      </c>
      <c r="V102" s="37">
        <f t="shared" ca="1" si="32"/>
        <v>0</v>
      </c>
      <c r="W102" s="39">
        <f t="shared" ca="1" si="44"/>
        <v>0</v>
      </c>
      <c r="X102" s="39">
        <f t="shared" si="45"/>
        <v>1</v>
      </c>
    </row>
    <row r="103" spans="1:24" ht="14" x14ac:dyDescent="0.3">
      <c r="A103" s="293">
        <v>119</v>
      </c>
      <c r="B103" s="293" t="s">
        <v>1068</v>
      </c>
      <c r="C103" s="294" t="s">
        <v>1071</v>
      </c>
      <c r="D103" s="294" t="s">
        <v>44</v>
      </c>
      <c r="E103" s="294">
        <v>1</v>
      </c>
      <c r="F103" s="250">
        <f ca="1">VLOOKUP($D103,Data!$C:$I,7,FALSE)</f>
        <v>0</v>
      </c>
      <c r="G103" s="296" t="str">
        <f t="shared" si="26"/>
        <v>ID.RM-11</v>
      </c>
      <c r="H103" s="296" t="str">
        <f t="shared" ca="1" si="27"/>
        <v>ID.RM-110</v>
      </c>
      <c r="K103" s="249"/>
      <c r="L103" s="36" t="s">
        <v>1244</v>
      </c>
      <c r="M103" s="37">
        <f t="shared" ca="1" si="35"/>
        <v>0</v>
      </c>
      <c r="N103" s="39">
        <f t="shared" ca="1" si="36"/>
        <v>0</v>
      </c>
      <c r="O103" s="39">
        <f t="shared" si="37"/>
        <v>1</v>
      </c>
      <c r="P103" s="37">
        <f t="shared" si="38"/>
        <v>0</v>
      </c>
      <c r="Q103" s="39">
        <f t="shared" ca="1" si="40"/>
        <v>0</v>
      </c>
      <c r="R103" s="39">
        <f t="shared" si="41"/>
        <v>0</v>
      </c>
      <c r="S103" s="37">
        <f t="shared" si="39"/>
        <v>0</v>
      </c>
      <c r="T103" s="39">
        <f t="shared" ca="1" si="42"/>
        <v>0</v>
      </c>
      <c r="U103" s="39">
        <f t="shared" si="43"/>
        <v>0</v>
      </c>
      <c r="V103" s="37">
        <f t="shared" ca="1" si="32"/>
        <v>0</v>
      </c>
      <c r="W103" s="39">
        <f t="shared" ca="1" si="44"/>
        <v>0</v>
      </c>
      <c r="X103" s="39">
        <f t="shared" si="45"/>
        <v>1</v>
      </c>
    </row>
    <row r="104" spans="1:24" ht="14" x14ac:dyDescent="0.3">
      <c r="A104" s="293">
        <v>120</v>
      </c>
      <c r="B104" s="293" t="s">
        <v>1068</v>
      </c>
      <c r="C104" s="294" t="s">
        <v>1067</v>
      </c>
      <c r="D104" s="294" t="s">
        <v>50</v>
      </c>
      <c r="E104" s="294">
        <v>2</v>
      </c>
      <c r="F104" s="250">
        <f ca="1">VLOOKUP($D104,Data!$C:$I,7,FALSE)</f>
        <v>0</v>
      </c>
      <c r="G104" s="296" t="str">
        <f t="shared" si="26"/>
        <v>ID.RM-12</v>
      </c>
      <c r="H104" s="296" t="str">
        <f t="shared" ca="1" si="27"/>
        <v>ID.RM-120</v>
      </c>
      <c r="K104" s="249" t="s">
        <v>1272</v>
      </c>
      <c r="L104" s="36" t="s">
        <v>1245</v>
      </c>
      <c r="M104" s="37">
        <f t="shared" ca="1" si="35"/>
        <v>0</v>
      </c>
      <c r="N104" s="39">
        <f t="shared" ca="1" si="36"/>
        <v>0</v>
      </c>
      <c r="O104" s="39">
        <f t="shared" si="37"/>
        <v>5</v>
      </c>
      <c r="P104" s="37">
        <f t="shared" ca="1" si="38"/>
        <v>0</v>
      </c>
      <c r="Q104" s="39">
        <f t="shared" ca="1" si="40"/>
        <v>0</v>
      </c>
      <c r="R104" s="39">
        <f t="shared" si="41"/>
        <v>1</v>
      </c>
      <c r="S104" s="37">
        <f t="shared" ca="1" si="39"/>
        <v>0</v>
      </c>
      <c r="T104" s="39">
        <f t="shared" ca="1" si="42"/>
        <v>0</v>
      </c>
      <c r="U104" s="39">
        <f t="shared" si="43"/>
        <v>3</v>
      </c>
      <c r="V104" s="37">
        <f t="shared" ca="1" si="32"/>
        <v>0</v>
      </c>
      <c r="W104" s="39">
        <f t="shared" ca="1" si="44"/>
        <v>0</v>
      </c>
      <c r="X104" s="39">
        <f t="shared" si="45"/>
        <v>1</v>
      </c>
    </row>
    <row r="105" spans="1:24" ht="14" x14ac:dyDescent="0.3">
      <c r="A105" s="293">
        <v>122</v>
      </c>
      <c r="B105" s="293" t="s">
        <v>1068</v>
      </c>
      <c r="C105" s="294" t="s">
        <v>1072</v>
      </c>
      <c r="D105" s="294" t="s">
        <v>75</v>
      </c>
      <c r="E105" s="294">
        <v>2</v>
      </c>
      <c r="F105" s="250">
        <f ca="1">VLOOKUP($D105,Data!$C:$I,7,FALSE)</f>
        <v>0</v>
      </c>
      <c r="G105" s="296" t="str">
        <f t="shared" si="26"/>
        <v>ID.RM-12</v>
      </c>
      <c r="H105" s="296" t="str">
        <f t="shared" ca="1" si="27"/>
        <v>ID.RM-120</v>
      </c>
      <c r="K105" s="249" t="s">
        <v>1273</v>
      </c>
      <c r="L105" s="36" t="s">
        <v>1246</v>
      </c>
      <c r="M105" s="37">
        <f t="shared" ca="1" si="35"/>
        <v>0</v>
      </c>
      <c r="N105" s="39">
        <f t="shared" ca="1" si="36"/>
        <v>0</v>
      </c>
      <c r="O105" s="39">
        <f t="shared" si="37"/>
        <v>3</v>
      </c>
      <c r="P105" s="37">
        <f t="shared" si="38"/>
        <v>0</v>
      </c>
      <c r="Q105" s="39">
        <f t="shared" ca="1" si="40"/>
        <v>0</v>
      </c>
      <c r="R105" s="39">
        <f t="shared" si="41"/>
        <v>0</v>
      </c>
      <c r="S105" s="37">
        <f t="shared" si="39"/>
        <v>0</v>
      </c>
      <c r="T105" s="39">
        <f t="shared" ca="1" si="42"/>
        <v>0</v>
      </c>
      <c r="U105" s="39">
        <f t="shared" si="43"/>
        <v>0</v>
      </c>
      <c r="V105" s="37">
        <f t="shared" ca="1" si="32"/>
        <v>0</v>
      </c>
      <c r="W105" s="39">
        <f t="shared" ca="1" si="44"/>
        <v>0</v>
      </c>
      <c r="X105" s="39">
        <f t="shared" si="45"/>
        <v>3</v>
      </c>
    </row>
    <row r="106" spans="1:24" ht="14" x14ac:dyDescent="0.3">
      <c r="A106" s="293">
        <v>124</v>
      </c>
      <c r="B106" s="293" t="s">
        <v>1068</v>
      </c>
      <c r="C106" s="294" t="s">
        <v>1073</v>
      </c>
      <c r="D106" s="294" t="s">
        <v>78</v>
      </c>
      <c r="E106" s="294">
        <v>2</v>
      </c>
      <c r="F106" s="250">
        <f ca="1">VLOOKUP($D106,Data!$C:$I,7,FALSE)</f>
        <v>0</v>
      </c>
      <c r="G106" s="296" t="str">
        <f t="shared" si="26"/>
        <v>ID.RM-12</v>
      </c>
      <c r="H106" s="296" t="str">
        <f t="shared" ca="1" si="27"/>
        <v>ID.RM-120</v>
      </c>
      <c r="K106" s="249"/>
      <c r="L106" s="36" t="s">
        <v>1247</v>
      </c>
      <c r="M106" s="37">
        <f t="shared" ca="1" si="35"/>
        <v>0</v>
      </c>
      <c r="N106" s="39">
        <f t="shared" ca="1" si="36"/>
        <v>0</v>
      </c>
      <c r="O106" s="39">
        <f t="shared" si="37"/>
        <v>1</v>
      </c>
      <c r="P106" s="37">
        <f t="shared" si="38"/>
        <v>0</v>
      </c>
      <c r="Q106" s="39">
        <f t="shared" ca="1" si="40"/>
        <v>0</v>
      </c>
      <c r="R106" s="39">
        <f t="shared" si="41"/>
        <v>0</v>
      </c>
      <c r="S106" s="37">
        <f t="shared" si="39"/>
        <v>0</v>
      </c>
      <c r="T106" s="39">
        <f t="shared" ca="1" si="42"/>
        <v>0</v>
      </c>
      <c r="U106" s="39">
        <f t="shared" si="43"/>
        <v>0</v>
      </c>
      <c r="V106" s="37">
        <f t="shared" ca="1" si="32"/>
        <v>0</v>
      </c>
      <c r="W106" s="39">
        <f t="shared" ca="1" si="44"/>
        <v>0</v>
      </c>
      <c r="X106" s="39">
        <f t="shared" si="45"/>
        <v>1</v>
      </c>
    </row>
    <row r="107" spans="1:24" ht="14" x14ac:dyDescent="0.3">
      <c r="A107" s="293">
        <v>126</v>
      </c>
      <c r="B107" s="293" t="s">
        <v>1068</v>
      </c>
      <c r="C107" s="294" t="s">
        <v>1017</v>
      </c>
      <c r="D107" s="294" t="s">
        <v>65</v>
      </c>
      <c r="E107" s="294">
        <v>2</v>
      </c>
      <c r="F107" s="250">
        <f ca="1">VLOOKUP($D107,Data!$C:$I,7,FALSE)</f>
        <v>0</v>
      </c>
      <c r="G107" s="296" t="str">
        <f t="shared" si="26"/>
        <v>ID.RM-12</v>
      </c>
      <c r="H107" s="296" t="str">
        <f t="shared" ca="1" si="27"/>
        <v>ID.RM-120</v>
      </c>
      <c r="K107" s="249" t="s">
        <v>1274</v>
      </c>
      <c r="L107" s="36" t="s">
        <v>1248</v>
      </c>
      <c r="M107" s="37">
        <f t="shared" ca="1" si="35"/>
        <v>0</v>
      </c>
      <c r="N107" s="39">
        <f t="shared" ca="1" si="36"/>
        <v>0</v>
      </c>
      <c r="O107" s="39">
        <f t="shared" si="37"/>
        <v>1</v>
      </c>
      <c r="P107" s="37">
        <f t="shared" si="38"/>
        <v>0</v>
      </c>
      <c r="Q107" s="39">
        <f t="shared" ca="1" si="40"/>
        <v>0</v>
      </c>
      <c r="R107" s="39">
        <f t="shared" si="41"/>
        <v>0</v>
      </c>
      <c r="S107" s="37">
        <f t="shared" si="39"/>
        <v>0</v>
      </c>
      <c r="T107" s="39">
        <f t="shared" ca="1" si="42"/>
        <v>0</v>
      </c>
      <c r="U107" s="39">
        <f t="shared" si="43"/>
        <v>0</v>
      </c>
      <c r="V107" s="37">
        <f t="shared" ca="1" si="32"/>
        <v>0</v>
      </c>
      <c r="W107" s="39">
        <f t="shared" ca="1" si="44"/>
        <v>0</v>
      </c>
      <c r="X107" s="39">
        <f t="shared" si="45"/>
        <v>1</v>
      </c>
    </row>
    <row r="108" spans="1:24" ht="14" x14ac:dyDescent="0.3">
      <c r="A108" s="293">
        <v>127</v>
      </c>
      <c r="B108" s="293" t="s">
        <v>1068</v>
      </c>
      <c r="C108" s="294" t="s">
        <v>1074</v>
      </c>
      <c r="D108" s="294" t="s">
        <v>70</v>
      </c>
      <c r="E108" s="294">
        <v>3</v>
      </c>
      <c r="F108" s="250">
        <f ca="1">VLOOKUP($D108,Data!$C:$I,7,FALSE)</f>
        <v>0</v>
      </c>
      <c r="G108" s="296" t="str">
        <f t="shared" si="26"/>
        <v>ID.RM-13</v>
      </c>
      <c r="H108" s="296" t="str">
        <f t="shared" ca="1" si="27"/>
        <v>ID.RM-130</v>
      </c>
      <c r="K108" s="249"/>
      <c r="L108" s="36" t="s">
        <v>1249</v>
      </c>
      <c r="M108" s="37">
        <f t="shared" ca="1" si="35"/>
        <v>0</v>
      </c>
      <c r="N108" s="39">
        <f t="shared" ca="1" si="36"/>
        <v>0</v>
      </c>
      <c r="O108" s="39">
        <f t="shared" si="37"/>
        <v>1</v>
      </c>
      <c r="P108" s="37">
        <f t="shared" si="38"/>
        <v>0</v>
      </c>
      <c r="Q108" s="39">
        <f t="shared" ca="1" si="40"/>
        <v>0</v>
      </c>
      <c r="R108" s="39">
        <f t="shared" si="41"/>
        <v>0</v>
      </c>
      <c r="S108" s="37">
        <f t="shared" ca="1" si="39"/>
        <v>0</v>
      </c>
      <c r="T108" s="39">
        <f t="shared" ca="1" si="42"/>
        <v>0</v>
      </c>
      <c r="U108" s="39">
        <f t="shared" si="43"/>
        <v>1</v>
      </c>
      <c r="V108" s="37">
        <f t="shared" si="32"/>
        <v>0</v>
      </c>
      <c r="W108" s="39">
        <f t="shared" ca="1" si="44"/>
        <v>0</v>
      </c>
      <c r="X108" s="39">
        <f t="shared" si="45"/>
        <v>0</v>
      </c>
    </row>
    <row r="109" spans="1:24" ht="14" x14ac:dyDescent="0.3">
      <c r="A109" s="293">
        <v>128</v>
      </c>
      <c r="B109" s="293" t="s">
        <v>1068</v>
      </c>
      <c r="C109" s="294" t="s">
        <v>1047</v>
      </c>
      <c r="D109" s="294" t="s">
        <v>73</v>
      </c>
      <c r="E109" s="294">
        <v>3</v>
      </c>
      <c r="F109" s="250">
        <f ca="1">VLOOKUP($D109,Data!$C:$I,7,FALSE)</f>
        <v>0</v>
      </c>
      <c r="G109" s="296" t="str">
        <f t="shared" si="26"/>
        <v>ID.RM-13</v>
      </c>
      <c r="H109" s="296" t="str">
        <f t="shared" ca="1" si="27"/>
        <v>ID.RM-130</v>
      </c>
      <c r="K109" s="249"/>
      <c r="L109" s="36" t="s">
        <v>1250</v>
      </c>
      <c r="M109" s="37">
        <f t="shared" ca="1" si="35"/>
        <v>0</v>
      </c>
      <c r="N109" s="39">
        <f t="shared" ca="1" si="36"/>
        <v>0</v>
      </c>
      <c r="O109" s="39">
        <f t="shared" si="37"/>
        <v>2</v>
      </c>
      <c r="P109" s="37">
        <f t="shared" si="38"/>
        <v>0</v>
      </c>
      <c r="Q109" s="39">
        <f t="shared" ca="1" si="40"/>
        <v>0</v>
      </c>
      <c r="R109" s="39">
        <f t="shared" si="41"/>
        <v>0</v>
      </c>
      <c r="S109" s="37">
        <f t="shared" ca="1" si="39"/>
        <v>0</v>
      </c>
      <c r="T109" s="39">
        <f t="shared" ca="1" si="42"/>
        <v>0</v>
      </c>
      <c r="U109" s="39">
        <f t="shared" si="43"/>
        <v>2</v>
      </c>
      <c r="V109" s="37">
        <f t="shared" si="32"/>
        <v>0</v>
      </c>
      <c r="W109" s="39">
        <f t="shared" ca="1" si="44"/>
        <v>0</v>
      </c>
      <c r="X109" s="39">
        <f t="shared" si="45"/>
        <v>0</v>
      </c>
    </row>
    <row r="110" spans="1:24" ht="14" x14ac:dyDescent="0.3">
      <c r="A110" s="293">
        <v>129</v>
      </c>
      <c r="B110" s="293" t="s">
        <v>1068</v>
      </c>
      <c r="C110" s="294" t="s">
        <v>1046</v>
      </c>
      <c r="D110" s="294" t="s">
        <v>56</v>
      </c>
      <c r="E110" s="294">
        <v>3</v>
      </c>
      <c r="F110" s="250">
        <f ca="1">VLOOKUP($D110,Data!$C:$I,7,FALSE)</f>
        <v>0</v>
      </c>
      <c r="G110" s="296" t="str">
        <f t="shared" si="26"/>
        <v>ID.RM-13</v>
      </c>
      <c r="H110" s="296" t="str">
        <f t="shared" ca="1" si="27"/>
        <v>ID.RM-130</v>
      </c>
    </row>
    <row r="111" spans="1:24" ht="14" x14ac:dyDescent="0.3">
      <c r="A111" s="293">
        <v>130</v>
      </c>
      <c r="B111" s="293" t="s">
        <v>1068</v>
      </c>
      <c r="C111" s="294" t="s">
        <v>1054</v>
      </c>
      <c r="D111" s="294" t="s">
        <v>48</v>
      </c>
      <c r="E111" s="294">
        <v>2</v>
      </c>
      <c r="F111" s="250">
        <f ca="1">VLOOKUP($D111,Data!$C:$I,7,FALSE)</f>
        <v>0</v>
      </c>
      <c r="G111" s="296" t="str">
        <f t="shared" si="26"/>
        <v>ID.RM-12</v>
      </c>
      <c r="H111" s="296" t="str">
        <f t="shared" ca="1" si="27"/>
        <v>ID.RM-120</v>
      </c>
    </row>
    <row r="112" spans="1:24" ht="14" x14ac:dyDescent="0.3">
      <c r="A112" s="293">
        <v>130</v>
      </c>
      <c r="B112" s="293" t="s">
        <v>1068</v>
      </c>
      <c r="C112" s="294" t="s">
        <v>1054</v>
      </c>
      <c r="D112" s="294" t="s">
        <v>61</v>
      </c>
      <c r="E112" s="295">
        <v>3</v>
      </c>
      <c r="F112" s="250">
        <f ca="1">VLOOKUP($D112,Data!$C:$I,7,FALSE)</f>
        <v>0</v>
      </c>
      <c r="G112" s="296" t="str">
        <f t="shared" si="26"/>
        <v>ID.RM-13</v>
      </c>
      <c r="H112" s="296" t="str">
        <f t="shared" ca="1" si="27"/>
        <v>ID.RM-130</v>
      </c>
    </row>
    <row r="113" spans="1:8" ht="14" x14ac:dyDescent="0.3">
      <c r="A113" s="293">
        <v>132</v>
      </c>
      <c r="B113" s="293" t="s">
        <v>1068</v>
      </c>
      <c r="C113" s="294" t="s">
        <v>1075</v>
      </c>
      <c r="D113" s="294" t="s">
        <v>84</v>
      </c>
      <c r="E113" s="294">
        <v>2</v>
      </c>
      <c r="F113" s="250">
        <f ca="1">VLOOKUP($D113,Data!$C:$I,7,FALSE)</f>
        <v>0</v>
      </c>
      <c r="G113" s="296" t="str">
        <f t="shared" si="26"/>
        <v>ID.RM-12</v>
      </c>
      <c r="H113" s="296" t="str">
        <f t="shared" ca="1" si="27"/>
        <v>ID.RM-120</v>
      </c>
    </row>
    <row r="114" spans="1:8" ht="14" x14ac:dyDescent="0.3">
      <c r="A114" s="293">
        <v>133</v>
      </c>
      <c r="B114" s="293" t="s">
        <v>1068</v>
      </c>
      <c r="C114" s="294" t="s">
        <v>1076</v>
      </c>
      <c r="D114" s="294" t="s">
        <v>81</v>
      </c>
      <c r="E114" s="294">
        <v>2</v>
      </c>
      <c r="F114" s="250">
        <f ca="1">VLOOKUP($D114,Data!$C:$I,7,FALSE)</f>
        <v>0</v>
      </c>
      <c r="G114" s="296" t="str">
        <f t="shared" si="26"/>
        <v>ID.RM-12</v>
      </c>
      <c r="H114" s="296" t="str">
        <f t="shared" ca="1" si="27"/>
        <v>ID.RM-120</v>
      </c>
    </row>
    <row r="115" spans="1:8" ht="14" x14ac:dyDescent="0.3">
      <c r="A115" s="293">
        <v>134</v>
      </c>
      <c r="B115" s="293" t="s">
        <v>1077</v>
      </c>
      <c r="C115" s="294" t="s">
        <v>1017</v>
      </c>
      <c r="D115" s="294" t="s">
        <v>65</v>
      </c>
      <c r="E115" s="294">
        <v>2</v>
      </c>
      <c r="F115" s="250">
        <f ca="1">VLOOKUP($D115,Data!$C:$I,7,FALSE)</f>
        <v>0</v>
      </c>
      <c r="G115" s="296" t="str">
        <f t="shared" si="26"/>
        <v>ID.RM-22</v>
      </c>
      <c r="H115" s="296" t="str">
        <f t="shared" ca="1" si="27"/>
        <v>ID.RM-220</v>
      </c>
    </row>
    <row r="116" spans="1:8" ht="14" x14ac:dyDescent="0.3">
      <c r="A116" s="293">
        <v>135</v>
      </c>
      <c r="B116" s="293" t="s">
        <v>1077</v>
      </c>
      <c r="C116" s="294" t="s">
        <v>1047</v>
      </c>
      <c r="D116" s="294" t="s">
        <v>73</v>
      </c>
      <c r="E116" s="294">
        <v>3</v>
      </c>
      <c r="F116" s="250">
        <f ca="1">VLOOKUP($D116,Data!$C:$I,7,FALSE)</f>
        <v>0</v>
      </c>
      <c r="G116" s="296" t="str">
        <f t="shared" si="26"/>
        <v>ID.RM-23</v>
      </c>
      <c r="H116" s="296" t="str">
        <f t="shared" ca="1" si="27"/>
        <v>ID.RM-230</v>
      </c>
    </row>
    <row r="117" spans="1:8" ht="14" x14ac:dyDescent="0.3">
      <c r="A117" s="293">
        <v>137</v>
      </c>
      <c r="B117" s="293" t="s">
        <v>1078</v>
      </c>
      <c r="C117" s="294" t="s">
        <v>1017</v>
      </c>
      <c r="D117" s="294" t="s">
        <v>65</v>
      </c>
      <c r="E117" s="294">
        <v>2</v>
      </c>
      <c r="F117" s="250">
        <f ca="1">VLOOKUP($D117,Data!$C:$I,7,FALSE)</f>
        <v>0</v>
      </c>
      <c r="G117" s="296" t="str">
        <f t="shared" si="26"/>
        <v>ID.RM-32</v>
      </c>
      <c r="H117" s="296" t="str">
        <f t="shared" ca="1" si="27"/>
        <v>ID.RM-320</v>
      </c>
    </row>
    <row r="118" spans="1:8" ht="14" x14ac:dyDescent="0.3">
      <c r="A118" s="293">
        <v>138</v>
      </c>
      <c r="B118" s="293" t="s">
        <v>987</v>
      </c>
      <c r="C118" s="294" t="s">
        <v>1079</v>
      </c>
      <c r="D118" s="294" t="s">
        <v>297</v>
      </c>
      <c r="E118" s="294">
        <v>1</v>
      </c>
      <c r="F118" s="250">
        <f ca="1">VLOOKUP($D118,Data!$C:$I,7,FALSE)</f>
        <v>0</v>
      </c>
      <c r="G118" s="296" t="str">
        <f t="shared" si="26"/>
        <v>ID.SC-11</v>
      </c>
      <c r="H118" s="296" t="str">
        <f t="shared" ca="1" si="27"/>
        <v>ID.SC-110</v>
      </c>
    </row>
    <row r="119" spans="1:8" ht="14" x14ac:dyDescent="0.3">
      <c r="A119" s="293">
        <v>139</v>
      </c>
      <c r="B119" s="293" t="s">
        <v>987</v>
      </c>
      <c r="C119" s="294" t="s">
        <v>1080</v>
      </c>
      <c r="D119" s="294" t="s">
        <v>298</v>
      </c>
      <c r="E119" s="294">
        <v>1</v>
      </c>
      <c r="F119" s="250">
        <f ca="1">VLOOKUP($D119,Data!$C:$I,7,FALSE)</f>
        <v>0</v>
      </c>
      <c r="G119" s="296" t="str">
        <f t="shared" si="26"/>
        <v>ID.SC-11</v>
      </c>
      <c r="H119" s="296" t="str">
        <f t="shared" ca="1" si="27"/>
        <v>ID.SC-110</v>
      </c>
    </row>
    <row r="120" spans="1:8" ht="14" x14ac:dyDescent="0.3">
      <c r="A120" s="293">
        <v>140</v>
      </c>
      <c r="B120" s="293" t="s">
        <v>987</v>
      </c>
      <c r="C120" s="294" t="s">
        <v>1081</v>
      </c>
      <c r="D120" s="294" t="s">
        <v>299</v>
      </c>
      <c r="E120" s="294">
        <v>2</v>
      </c>
      <c r="F120" s="250">
        <f ca="1">VLOOKUP($D120,Data!$C:$I,7,FALSE)</f>
        <v>0</v>
      </c>
      <c r="G120" s="296" t="str">
        <f t="shared" si="26"/>
        <v>ID.SC-12</v>
      </c>
      <c r="H120" s="296" t="str">
        <f t="shared" ca="1" si="27"/>
        <v>ID.SC-120</v>
      </c>
    </row>
    <row r="121" spans="1:8" ht="14" x14ac:dyDescent="0.3">
      <c r="A121" s="293">
        <v>142</v>
      </c>
      <c r="B121" s="293" t="s">
        <v>987</v>
      </c>
      <c r="C121" s="294" t="s">
        <v>1082</v>
      </c>
      <c r="D121" s="294" t="s">
        <v>306</v>
      </c>
      <c r="E121" s="294">
        <v>3</v>
      </c>
      <c r="F121" s="250">
        <f ca="1">VLOOKUP($D121,Data!$C:$I,7,FALSE)</f>
        <v>0</v>
      </c>
      <c r="G121" s="296" t="str">
        <f t="shared" si="26"/>
        <v>ID.SC-13</v>
      </c>
      <c r="H121" s="296" t="str">
        <f t="shared" ca="1" si="27"/>
        <v>ID.SC-130</v>
      </c>
    </row>
    <row r="122" spans="1:8" ht="14" x14ac:dyDescent="0.3">
      <c r="A122" s="293">
        <v>143</v>
      </c>
      <c r="B122" s="293" t="s">
        <v>1083</v>
      </c>
      <c r="C122" s="294" t="s">
        <v>1013</v>
      </c>
      <c r="D122" s="294" t="s">
        <v>290</v>
      </c>
      <c r="E122" s="294">
        <v>1</v>
      </c>
      <c r="F122" s="250">
        <f ca="1">VLOOKUP($D122,Data!$C:$I,7,FALSE)</f>
        <v>0</v>
      </c>
      <c r="G122" s="296" t="str">
        <f t="shared" si="26"/>
        <v>ID.SC-21</v>
      </c>
      <c r="H122" s="296" t="str">
        <f t="shared" ca="1" si="27"/>
        <v>ID.SC-210</v>
      </c>
    </row>
    <row r="123" spans="1:8" ht="14" x14ac:dyDescent="0.3">
      <c r="A123" s="293">
        <v>144</v>
      </c>
      <c r="B123" s="293" t="s">
        <v>1083</v>
      </c>
      <c r="C123" s="294" t="s">
        <v>1024</v>
      </c>
      <c r="D123" s="294" t="s">
        <v>291</v>
      </c>
      <c r="E123" s="294">
        <v>1</v>
      </c>
      <c r="F123" s="250">
        <f ca="1">VLOOKUP($D123,Data!$C:$I,7,FALSE)</f>
        <v>0</v>
      </c>
      <c r="G123" s="296" t="str">
        <f t="shared" si="26"/>
        <v>ID.SC-21</v>
      </c>
      <c r="H123" s="296" t="str">
        <f t="shared" ca="1" si="27"/>
        <v>ID.SC-210</v>
      </c>
    </row>
    <row r="124" spans="1:8" ht="14" x14ac:dyDescent="0.3">
      <c r="A124" s="293">
        <v>145</v>
      </c>
      <c r="B124" s="293" t="s">
        <v>1083</v>
      </c>
      <c r="C124" s="294" t="s">
        <v>1014</v>
      </c>
      <c r="D124" s="294" t="s">
        <v>292</v>
      </c>
      <c r="E124" s="294">
        <v>2</v>
      </c>
      <c r="F124" s="250">
        <f ca="1">VLOOKUP($D124,Data!$C:$I,7,FALSE)</f>
        <v>0</v>
      </c>
      <c r="G124" s="296" t="str">
        <f t="shared" si="26"/>
        <v>ID.SC-22</v>
      </c>
      <c r="H124" s="296" t="str">
        <f t="shared" ca="1" si="27"/>
        <v>ID.SC-220</v>
      </c>
    </row>
    <row r="125" spans="1:8" ht="14" x14ac:dyDescent="0.3">
      <c r="A125" s="293">
        <v>146</v>
      </c>
      <c r="B125" s="293" t="s">
        <v>1083</v>
      </c>
      <c r="C125" s="294" t="s">
        <v>1025</v>
      </c>
      <c r="D125" s="294" t="s">
        <v>293</v>
      </c>
      <c r="E125" s="294">
        <v>2</v>
      </c>
      <c r="F125" s="250">
        <f ca="1">VLOOKUP($D125,Data!$C:$I,7,FALSE)</f>
        <v>0</v>
      </c>
      <c r="G125" s="296" t="str">
        <f t="shared" si="26"/>
        <v>ID.SC-22</v>
      </c>
      <c r="H125" s="296" t="str">
        <f t="shared" ca="1" si="27"/>
        <v>ID.SC-220</v>
      </c>
    </row>
    <row r="126" spans="1:8" ht="14" x14ac:dyDescent="0.3">
      <c r="A126" s="293">
        <v>147</v>
      </c>
      <c r="B126" s="293" t="s">
        <v>1083</v>
      </c>
      <c r="C126" s="294" t="s">
        <v>1015</v>
      </c>
      <c r="D126" s="294" t="s">
        <v>294</v>
      </c>
      <c r="E126" s="294">
        <v>2</v>
      </c>
      <c r="F126" s="250">
        <f ca="1">VLOOKUP($D126,Data!$C:$I,7,FALSE)</f>
        <v>0</v>
      </c>
      <c r="G126" s="296" t="str">
        <f t="shared" si="26"/>
        <v>ID.SC-22</v>
      </c>
      <c r="H126" s="296" t="str">
        <f t="shared" ca="1" si="27"/>
        <v>ID.SC-220</v>
      </c>
    </row>
    <row r="127" spans="1:8" ht="14" x14ac:dyDescent="0.3">
      <c r="A127" s="293">
        <v>148</v>
      </c>
      <c r="B127" s="293" t="s">
        <v>1083</v>
      </c>
      <c r="C127" s="294" t="s">
        <v>1026</v>
      </c>
      <c r="D127" s="294" t="s">
        <v>295</v>
      </c>
      <c r="E127" s="294">
        <v>2</v>
      </c>
      <c r="F127" s="250">
        <f ca="1">VLOOKUP($D127,Data!$C:$I,7,FALSE)</f>
        <v>0</v>
      </c>
      <c r="G127" s="296" t="str">
        <f t="shared" si="26"/>
        <v>ID.SC-22</v>
      </c>
      <c r="H127" s="296" t="str">
        <f t="shared" ca="1" si="27"/>
        <v>ID.SC-220</v>
      </c>
    </row>
    <row r="128" spans="1:8" ht="14" x14ac:dyDescent="0.3">
      <c r="A128" s="293">
        <v>149</v>
      </c>
      <c r="B128" s="293" t="s">
        <v>1083</v>
      </c>
      <c r="C128" s="294" t="s">
        <v>1016</v>
      </c>
      <c r="D128" s="294" t="s">
        <v>296</v>
      </c>
      <c r="E128" s="294">
        <v>3</v>
      </c>
      <c r="F128" s="250">
        <f ca="1">VLOOKUP($D128,Data!$C:$I,7,FALSE)</f>
        <v>0</v>
      </c>
      <c r="G128" s="296" t="str">
        <f t="shared" si="26"/>
        <v>ID.SC-23</v>
      </c>
      <c r="H128" s="296" t="str">
        <f t="shared" ca="1" si="27"/>
        <v>ID.SC-230</v>
      </c>
    </row>
    <row r="129" spans="1:8" ht="14" x14ac:dyDescent="0.3">
      <c r="A129" s="293">
        <v>150</v>
      </c>
      <c r="B129" s="293" t="s">
        <v>988</v>
      </c>
      <c r="C129" s="294" t="s">
        <v>1080</v>
      </c>
      <c r="D129" s="294" t="s">
        <v>298</v>
      </c>
      <c r="E129" s="294">
        <v>1</v>
      </c>
      <c r="F129" s="250">
        <f ca="1">VLOOKUP($D129,Data!$C:$I,7,FALSE)</f>
        <v>0</v>
      </c>
      <c r="G129" s="296" t="str">
        <f t="shared" si="26"/>
        <v>ID.SC-31</v>
      </c>
      <c r="H129" s="296" t="str">
        <f t="shared" ca="1" si="27"/>
        <v>ID.SC-310</v>
      </c>
    </row>
    <row r="130" spans="1:8" ht="14" x14ac:dyDescent="0.3">
      <c r="A130" s="293">
        <v>151</v>
      </c>
      <c r="B130" s="293" t="s">
        <v>988</v>
      </c>
      <c r="C130" s="294" t="s">
        <v>1084</v>
      </c>
      <c r="D130" s="294" t="s">
        <v>300</v>
      </c>
      <c r="E130" s="294">
        <v>2</v>
      </c>
      <c r="F130" s="250">
        <f ca="1">VLOOKUP($D130,Data!$C:$I,7,FALSE)</f>
        <v>0</v>
      </c>
      <c r="G130" s="296" t="str">
        <f t="shared" ref="G130:G193" si="46">CONCATENATE($B130,$E130)</f>
        <v>ID.SC-32</v>
      </c>
      <c r="H130" s="296" t="str">
        <f t="shared" ref="H130:H193" ca="1" si="47">_xlfn.IFNA(CONCATENATE($B130,$E130,$F130),CONCATENATE($B130,$E130,0))</f>
        <v>ID.SC-320</v>
      </c>
    </row>
    <row r="131" spans="1:8" ht="14" x14ac:dyDescent="0.3">
      <c r="A131" s="293">
        <v>152</v>
      </c>
      <c r="B131" s="293" t="s">
        <v>988</v>
      </c>
      <c r="C131" s="294" t="s">
        <v>1085</v>
      </c>
      <c r="D131" s="294" t="s">
        <v>301</v>
      </c>
      <c r="E131" s="294">
        <v>2</v>
      </c>
      <c r="F131" s="250">
        <f ca="1">VLOOKUP($D131,Data!$C:$I,7,FALSE)</f>
        <v>0</v>
      </c>
      <c r="G131" s="296" t="str">
        <f t="shared" si="46"/>
        <v>ID.SC-32</v>
      </c>
      <c r="H131" s="296" t="str">
        <f t="shared" ca="1" si="47"/>
        <v>ID.SC-320</v>
      </c>
    </row>
    <row r="132" spans="1:8" ht="14" x14ac:dyDescent="0.3">
      <c r="A132" s="293">
        <v>153</v>
      </c>
      <c r="B132" s="293" t="s">
        <v>988</v>
      </c>
      <c r="C132" s="294" t="s">
        <v>1086</v>
      </c>
      <c r="D132" s="294" t="s">
        <v>302</v>
      </c>
      <c r="E132" s="294">
        <v>2</v>
      </c>
      <c r="F132" s="250">
        <f ca="1">VLOOKUP($D132,Data!$C:$I,7,FALSE)</f>
        <v>0</v>
      </c>
      <c r="G132" s="296" t="str">
        <f t="shared" si="46"/>
        <v>ID.SC-32</v>
      </c>
      <c r="H132" s="296" t="str">
        <f t="shared" ca="1" si="47"/>
        <v>ID.SC-320</v>
      </c>
    </row>
    <row r="133" spans="1:8" ht="14" x14ac:dyDescent="0.3">
      <c r="A133" s="293">
        <v>154</v>
      </c>
      <c r="B133" s="293" t="s">
        <v>988</v>
      </c>
      <c r="C133" s="294" t="s">
        <v>1087</v>
      </c>
      <c r="D133" s="294" t="s">
        <v>303</v>
      </c>
      <c r="E133" s="294">
        <v>2</v>
      </c>
      <c r="F133" s="250">
        <f ca="1">VLOOKUP($D133,Data!$C:$I,7,FALSE)</f>
        <v>0</v>
      </c>
      <c r="G133" s="296" t="str">
        <f t="shared" si="46"/>
        <v>ID.SC-32</v>
      </c>
      <c r="H133" s="296" t="str">
        <f t="shared" ca="1" si="47"/>
        <v>ID.SC-320</v>
      </c>
    </row>
    <row r="134" spans="1:8" ht="14" x14ac:dyDescent="0.3">
      <c r="A134" s="293">
        <v>155</v>
      </c>
      <c r="B134" s="293" t="s">
        <v>988</v>
      </c>
      <c r="C134" s="294" t="s">
        <v>1088</v>
      </c>
      <c r="D134" s="294" t="s">
        <v>304</v>
      </c>
      <c r="E134" s="294">
        <v>2</v>
      </c>
      <c r="F134" s="250">
        <f ca="1">VLOOKUP($D134,Data!$C:$I,7,FALSE)</f>
        <v>0</v>
      </c>
      <c r="G134" s="296" t="str">
        <f t="shared" si="46"/>
        <v>ID.SC-32</v>
      </c>
      <c r="H134" s="296" t="str">
        <f t="shared" ca="1" si="47"/>
        <v>ID.SC-320</v>
      </c>
    </row>
    <row r="135" spans="1:8" ht="14" x14ac:dyDescent="0.3">
      <c r="A135" s="293">
        <v>157</v>
      </c>
      <c r="B135" s="293" t="s">
        <v>1003</v>
      </c>
      <c r="C135" s="294" t="s">
        <v>1004</v>
      </c>
      <c r="D135" s="294" t="s">
        <v>305</v>
      </c>
      <c r="E135" s="294">
        <v>2</v>
      </c>
      <c r="F135" s="250">
        <f ca="1">VLOOKUP($D135,Data!$C:$I,7,FALSE)</f>
        <v>0</v>
      </c>
      <c r="G135" s="296" t="str">
        <f t="shared" si="46"/>
        <v>ID.SC-42</v>
      </c>
      <c r="H135" s="296" t="str">
        <f t="shared" ca="1" si="47"/>
        <v>ID.SC-420</v>
      </c>
    </row>
    <row r="136" spans="1:8" ht="14" x14ac:dyDescent="0.3">
      <c r="A136" s="293">
        <v>158</v>
      </c>
      <c r="B136" s="293" t="s">
        <v>1003</v>
      </c>
      <c r="C136" s="294" t="s">
        <v>1089</v>
      </c>
      <c r="D136" s="294" t="s">
        <v>310</v>
      </c>
      <c r="E136" s="294">
        <v>3</v>
      </c>
      <c r="F136" s="250">
        <f ca="1">VLOOKUP($D136,Data!$C:$I,7,FALSE)</f>
        <v>0</v>
      </c>
      <c r="G136" s="296" t="str">
        <f t="shared" si="46"/>
        <v>ID.SC-43</v>
      </c>
      <c r="H136" s="296" t="str">
        <f t="shared" ca="1" si="47"/>
        <v>ID.SC-430</v>
      </c>
    </row>
    <row r="137" spans="1:8" ht="14" x14ac:dyDescent="0.3">
      <c r="A137" s="293">
        <v>159</v>
      </c>
      <c r="B137" s="293" t="s">
        <v>1003</v>
      </c>
      <c r="C137" s="294" t="s">
        <v>1090</v>
      </c>
      <c r="D137" s="294" t="s">
        <v>309</v>
      </c>
      <c r="E137" s="294">
        <v>3</v>
      </c>
      <c r="F137" s="250">
        <f ca="1">VLOOKUP($D137,Data!$C:$I,7,FALSE)</f>
        <v>0</v>
      </c>
      <c r="G137" s="296" t="str">
        <f t="shared" si="46"/>
        <v>ID.SC-43</v>
      </c>
      <c r="H137" s="296" t="str">
        <f t="shared" ca="1" si="47"/>
        <v>ID.SC-430</v>
      </c>
    </row>
    <row r="138" spans="1:8" ht="14" x14ac:dyDescent="0.3">
      <c r="A138" s="293">
        <v>160</v>
      </c>
      <c r="B138" s="293" t="s">
        <v>1091</v>
      </c>
      <c r="C138" s="294" t="s">
        <v>1092</v>
      </c>
      <c r="D138" s="294" t="s">
        <v>276</v>
      </c>
      <c r="E138" s="294">
        <v>2</v>
      </c>
      <c r="F138" s="250">
        <f ca="1">VLOOKUP($D138,Data!$C:$I,7,FALSE)</f>
        <v>0</v>
      </c>
      <c r="G138" s="296" t="str">
        <f t="shared" si="46"/>
        <v>ID.SC-52</v>
      </c>
      <c r="H138" s="296" t="str">
        <f t="shared" ca="1" si="47"/>
        <v>ID.SC-520</v>
      </c>
    </row>
    <row r="139" spans="1:8" ht="14" x14ac:dyDescent="0.3">
      <c r="A139" s="293">
        <v>161</v>
      </c>
      <c r="B139" s="293" t="s">
        <v>1091</v>
      </c>
      <c r="C139" s="294" t="s">
        <v>1093</v>
      </c>
      <c r="D139" s="294" t="s">
        <v>408</v>
      </c>
      <c r="E139" s="294">
        <v>2</v>
      </c>
      <c r="F139" s="250">
        <f ca="1">VLOOKUP($D139,Data!$C:$I,7,FALSE)</f>
        <v>0</v>
      </c>
      <c r="G139" s="296" t="str">
        <f t="shared" si="46"/>
        <v>ID.SC-52</v>
      </c>
      <c r="H139" s="296" t="str">
        <f t="shared" ca="1" si="47"/>
        <v>ID.SC-520</v>
      </c>
    </row>
    <row r="140" spans="1:8" ht="14" x14ac:dyDescent="0.3">
      <c r="A140" s="293">
        <v>161</v>
      </c>
      <c r="B140" s="293" t="s">
        <v>1091</v>
      </c>
      <c r="C140" s="294" t="s">
        <v>1093</v>
      </c>
      <c r="D140" s="294" t="s">
        <v>411</v>
      </c>
      <c r="E140" s="295">
        <v>3</v>
      </c>
      <c r="F140" s="250">
        <f ca="1">VLOOKUP($D140,Data!$C:$I,7,FALSE)</f>
        <v>0</v>
      </c>
      <c r="G140" s="296" t="str">
        <f t="shared" si="46"/>
        <v>ID.SC-53</v>
      </c>
      <c r="H140" s="296" t="str">
        <f t="shared" ca="1" si="47"/>
        <v>ID.SC-530</v>
      </c>
    </row>
    <row r="141" spans="1:8" ht="14" x14ac:dyDescent="0.3">
      <c r="A141" s="293">
        <v>162</v>
      </c>
      <c r="B141" s="293" t="s">
        <v>1091</v>
      </c>
      <c r="C141" s="294" t="s">
        <v>1094</v>
      </c>
      <c r="D141" s="294" t="s">
        <v>279</v>
      </c>
      <c r="E141" s="294">
        <v>3</v>
      </c>
      <c r="F141" s="250">
        <f ca="1">VLOOKUP($D141,Data!$C:$I,7,FALSE)</f>
        <v>0</v>
      </c>
      <c r="G141" s="296" t="str">
        <f t="shared" si="46"/>
        <v>ID.SC-53</v>
      </c>
      <c r="H141" s="296" t="str">
        <f t="shared" ca="1" si="47"/>
        <v>ID.SC-530</v>
      </c>
    </row>
    <row r="142" spans="1:8" ht="14" x14ac:dyDescent="0.3">
      <c r="A142" s="293">
        <v>164</v>
      </c>
      <c r="B142" s="293" t="s">
        <v>1095</v>
      </c>
      <c r="C142" s="293" t="s">
        <v>1096</v>
      </c>
      <c r="D142" s="295" t="s">
        <v>161</v>
      </c>
      <c r="E142" s="295">
        <v>1</v>
      </c>
      <c r="F142" s="250">
        <f ca="1">VLOOKUP($D142,Data!$C:$I,7,FALSE)</f>
        <v>0</v>
      </c>
      <c r="G142" s="296" t="str">
        <f t="shared" si="46"/>
        <v>PR.AC-11</v>
      </c>
      <c r="H142" s="296" t="str">
        <f t="shared" ca="1" si="47"/>
        <v>PR.AC-110</v>
      </c>
    </row>
    <row r="143" spans="1:8" ht="14" x14ac:dyDescent="0.3">
      <c r="A143" s="293">
        <v>165</v>
      </c>
      <c r="B143" s="293" t="s">
        <v>1095</v>
      </c>
      <c r="C143" s="293" t="s">
        <v>1097</v>
      </c>
      <c r="D143" s="295" t="s">
        <v>163</v>
      </c>
      <c r="E143" s="295">
        <v>1</v>
      </c>
      <c r="F143" s="250">
        <f ca="1">VLOOKUP($D143,Data!$C:$I,7,FALSE)</f>
        <v>0</v>
      </c>
      <c r="G143" s="296" t="str">
        <f t="shared" si="46"/>
        <v>PR.AC-11</v>
      </c>
      <c r="H143" s="296" t="str">
        <f t="shared" ca="1" si="47"/>
        <v>PR.AC-110</v>
      </c>
    </row>
    <row r="144" spans="1:8" ht="14" x14ac:dyDescent="0.3">
      <c r="A144" s="293">
        <v>166</v>
      </c>
      <c r="B144" s="293" t="s">
        <v>1095</v>
      </c>
      <c r="C144" s="293" t="s">
        <v>1098</v>
      </c>
      <c r="D144" s="295" t="s">
        <v>164</v>
      </c>
      <c r="E144" s="295">
        <v>1</v>
      </c>
      <c r="F144" s="250">
        <f ca="1">VLOOKUP($D144,Data!$C:$I,7,FALSE)</f>
        <v>0</v>
      </c>
      <c r="G144" s="296" t="str">
        <f t="shared" si="46"/>
        <v>PR.AC-11</v>
      </c>
      <c r="H144" s="296" t="str">
        <f t="shared" ca="1" si="47"/>
        <v>PR.AC-110</v>
      </c>
    </row>
    <row r="145" spans="1:8" ht="14" x14ac:dyDescent="0.3">
      <c r="A145" s="293">
        <v>167</v>
      </c>
      <c r="B145" s="293" t="s">
        <v>1095</v>
      </c>
      <c r="C145" s="293" t="s">
        <v>1099</v>
      </c>
      <c r="D145" s="295" t="s">
        <v>165</v>
      </c>
      <c r="E145" s="295">
        <v>2</v>
      </c>
      <c r="F145" s="250">
        <f ca="1">VLOOKUP($D145,Data!$C:$I,7,FALSE)</f>
        <v>0</v>
      </c>
      <c r="G145" s="296" t="str">
        <f t="shared" si="46"/>
        <v>PR.AC-12</v>
      </c>
      <c r="H145" s="296" t="str">
        <f t="shared" ca="1" si="47"/>
        <v>PR.AC-120</v>
      </c>
    </row>
    <row r="146" spans="1:8" ht="14" x14ac:dyDescent="0.3">
      <c r="A146" s="293">
        <v>168</v>
      </c>
      <c r="B146" s="293" t="s">
        <v>1095</v>
      </c>
      <c r="C146" s="293" t="s">
        <v>1100</v>
      </c>
      <c r="D146" s="295" t="s">
        <v>166</v>
      </c>
      <c r="E146" s="295">
        <v>2</v>
      </c>
      <c r="F146" s="250">
        <f ca="1">VLOOKUP($D146,Data!$C:$I,7,FALSE)</f>
        <v>0</v>
      </c>
      <c r="G146" s="296" t="str">
        <f t="shared" si="46"/>
        <v>PR.AC-12</v>
      </c>
      <c r="H146" s="296" t="str">
        <f t="shared" ca="1" si="47"/>
        <v>PR.AC-120</v>
      </c>
    </row>
    <row r="147" spans="1:8" ht="14" x14ac:dyDescent="0.3">
      <c r="A147" s="293">
        <v>169</v>
      </c>
      <c r="B147" s="293" t="s">
        <v>1095</v>
      </c>
      <c r="C147" s="293" t="s">
        <v>1101</v>
      </c>
      <c r="D147" s="295" t="s">
        <v>167</v>
      </c>
      <c r="E147" s="295">
        <v>2</v>
      </c>
      <c r="F147" s="250">
        <f ca="1">VLOOKUP($D147,Data!$C:$I,7,FALSE)</f>
        <v>0</v>
      </c>
      <c r="G147" s="296" t="str">
        <f t="shared" si="46"/>
        <v>PR.AC-12</v>
      </c>
      <c r="H147" s="296" t="str">
        <f t="shared" ca="1" si="47"/>
        <v>PR.AC-120</v>
      </c>
    </row>
    <row r="148" spans="1:8" ht="14" x14ac:dyDescent="0.3">
      <c r="A148" s="293">
        <v>170</v>
      </c>
      <c r="B148" s="293" t="s">
        <v>1095</v>
      </c>
      <c r="C148" s="293" t="s">
        <v>1017</v>
      </c>
      <c r="D148" s="295" t="s">
        <v>65</v>
      </c>
      <c r="E148" s="295">
        <v>2</v>
      </c>
      <c r="F148" s="250">
        <f ca="1">VLOOKUP($D148,Data!$C:$I,7,FALSE)</f>
        <v>0</v>
      </c>
      <c r="G148" s="296" t="str">
        <f t="shared" si="46"/>
        <v>PR.AC-12</v>
      </c>
      <c r="H148" s="296" t="str">
        <f t="shared" ca="1" si="47"/>
        <v>PR.AC-120</v>
      </c>
    </row>
    <row r="149" spans="1:8" ht="14" x14ac:dyDescent="0.3">
      <c r="A149" s="293">
        <v>171</v>
      </c>
      <c r="B149" s="293" t="s">
        <v>1095</v>
      </c>
      <c r="C149" s="293" t="s">
        <v>1102</v>
      </c>
      <c r="D149" s="295" t="s">
        <v>168</v>
      </c>
      <c r="E149" s="295">
        <v>3</v>
      </c>
      <c r="F149" s="250">
        <f ca="1">VLOOKUP($D149,Data!$C:$I,7,FALSE)</f>
        <v>0</v>
      </c>
      <c r="G149" s="296" t="str">
        <f t="shared" si="46"/>
        <v>PR.AC-13</v>
      </c>
      <c r="H149" s="296" t="str">
        <f t="shared" ca="1" si="47"/>
        <v>PR.AC-130</v>
      </c>
    </row>
    <row r="150" spans="1:8" ht="14" x14ac:dyDescent="0.3">
      <c r="A150" s="293">
        <v>172</v>
      </c>
      <c r="B150" s="293" t="s">
        <v>1103</v>
      </c>
      <c r="C150" s="293" t="s">
        <v>1104</v>
      </c>
      <c r="D150" s="295" t="s">
        <v>169</v>
      </c>
      <c r="E150" s="295">
        <v>1</v>
      </c>
      <c r="F150" s="250">
        <f ca="1">VLOOKUP($D150,Data!$C:$I,7,FALSE)</f>
        <v>0</v>
      </c>
      <c r="G150" s="296" t="str">
        <f t="shared" si="46"/>
        <v>PR.AC-21</v>
      </c>
      <c r="H150" s="296" t="str">
        <f t="shared" ca="1" si="47"/>
        <v>PR.AC-210</v>
      </c>
    </row>
    <row r="151" spans="1:8" ht="14" x14ac:dyDescent="0.3">
      <c r="A151" s="293">
        <v>173</v>
      </c>
      <c r="B151" s="293" t="s">
        <v>1103</v>
      </c>
      <c r="C151" s="293" t="s">
        <v>1105</v>
      </c>
      <c r="D151" s="295" t="s">
        <v>170</v>
      </c>
      <c r="E151" s="295">
        <v>1</v>
      </c>
      <c r="F151" s="250">
        <f ca="1">VLOOKUP($D151,Data!$C:$I,7,FALSE)</f>
        <v>0</v>
      </c>
      <c r="G151" s="296" t="str">
        <f t="shared" si="46"/>
        <v>PR.AC-21</v>
      </c>
      <c r="H151" s="296" t="str">
        <f t="shared" ca="1" si="47"/>
        <v>PR.AC-210</v>
      </c>
    </row>
    <row r="152" spans="1:8" ht="14" x14ac:dyDescent="0.3">
      <c r="A152" s="293">
        <v>174</v>
      </c>
      <c r="B152" s="293" t="s">
        <v>1103</v>
      </c>
      <c r="C152" s="293" t="s">
        <v>1106</v>
      </c>
      <c r="D152" s="295" t="s">
        <v>171</v>
      </c>
      <c r="E152" s="295">
        <v>1</v>
      </c>
      <c r="F152" s="250">
        <f ca="1">VLOOKUP($D152,Data!$C:$I,7,FALSE)</f>
        <v>0</v>
      </c>
      <c r="G152" s="296" t="str">
        <f t="shared" si="46"/>
        <v>PR.AC-21</v>
      </c>
      <c r="H152" s="296" t="str">
        <f t="shared" ca="1" si="47"/>
        <v>PR.AC-210</v>
      </c>
    </row>
    <row r="153" spans="1:8" ht="14" x14ac:dyDescent="0.3">
      <c r="A153" s="293">
        <v>175</v>
      </c>
      <c r="B153" s="293" t="s">
        <v>1103</v>
      </c>
      <c r="C153" s="293" t="s">
        <v>1107</v>
      </c>
      <c r="D153" s="295" t="s">
        <v>172</v>
      </c>
      <c r="E153" s="295">
        <v>2</v>
      </c>
      <c r="F153" s="250">
        <f ca="1">VLOOKUP($D153,Data!$C:$I,7,FALSE)</f>
        <v>0</v>
      </c>
      <c r="G153" s="296" t="str">
        <f t="shared" si="46"/>
        <v>PR.AC-22</v>
      </c>
      <c r="H153" s="296" t="str">
        <f t="shared" ca="1" si="47"/>
        <v>PR.AC-220</v>
      </c>
    </row>
    <row r="154" spans="1:8" ht="14" x14ac:dyDescent="0.3">
      <c r="A154" s="293">
        <v>176</v>
      </c>
      <c r="B154" s="293" t="s">
        <v>1103</v>
      </c>
      <c r="C154" s="293" t="s">
        <v>1108</v>
      </c>
      <c r="D154" s="295" t="s">
        <v>173</v>
      </c>
      <c r="E154" s="295">
        <v>2</v>
      </c>
      <c r="F154" s="250">
        <f ca="1">VLOOKUP($D154,Data!$C:$I,7,FALSE)</f>
        <v>0</v>
      </c>
      <c r="G154" s="296" t="str">
        <f t="shared" si="46"/>
        <v>PR.AC-22</v>
      </c>
      <c r="H154" s="296" t="str">
        <f t="shared" ca="1" si="47"/>
        <v>PR.AC-220</v>
      </c>
    </row>
    <row r="155" spans="1:8" ht="14" x14ac:dyDescent="0.3">
      <c r="A155" s="293">
        <v>177</v>
      </c>
      <c r="B155" s="293" t="s">
        <v>1103</v>
      </c>
      <c r="C155" s="293" t="s">
        <v>1109</v>
      </c>
      <c r="D155" s="295" t="s">
        <v>174</v>
      </c>
      <c r="E155" s="295">
        <v>2</v>
      </c>
      <c r="F155" s="250">
        <f ca="1">VLOOKUP($D155,Data!$C:$I,7,FALSE)</f>
        <v>0</v>
      </c>
      <c r="G155" s="296" t="str">
        <f t="shared" si="46"/>
        <v>PR.AC-22</v>
      </c>
      <c r="H155" s="296" t="str">
        <f t="shared" ca="1" si="47"/>
        <v>PR.AC-220</v>
      </c>
    </row>
    <row r="156" spans="1:8" ht="14" x14ac:dyDescent="0.3">
      <c r="A156" s="293">
        <v>178</v>
      </c>
      <c r="B156" s="293" t="s">
        <v>1103</v>
      </c>
      <c r="C156" s="293" t="s">
        <v>1110</v>
      </c>
      <c r="D156" s="295" t="s">
        <v>175</v>
      </c>
      <c r="E156" s="295">
        <v>3</v>
      </c>
      <c r="F156" s="250">
        <f ca="1">VLOOKUP($D156,Data!$C:$I,7,FALSE)</f>
        <v>0</v>
      </c>
      <c r="G156" s="296" t="str">
        <f t="shared" si="46"/>
        <v>PR.AC-23</v>
      </c>
      <c r="H156" s="296" t="str">
        <f t="shared" ca="1" si="47"/>
        <v>PR.AC-230</v>
      </c>
    </row>
    <row r="157" spans="1:8" ht="14" x14ac:dyDescent="0.3">
      <c r="A157" s="293">
        <v>179</v>
      </c>
      <c r="B157" s="293" t="s">
        <v>1111</v>
      </c>
      <c r="C157" s="293" t="s">
        <v>1104</v>
      </c>
      <c r="D157" s="295" t="s">
        <v>169</v>
      </c>
      <c r="E157" s="295">
        <v>1</v>
      </c>
      <c r="F157" s="250">
        <f ca="1">VLOOKUP($D157,Data!$C:$I,7,FALSE)</f>
        <v>0</v>
      </c>
      <c r="G157" s="296" t="str">
        <f t="shared" si="46"/>
        <v>PR.AC-31</v>
      </c>
      <c r="H157" s="296" t="str">
        <f t="shared" ca="1" si="47"/>
        <v>PR.AC-310</v>
      </c>
    </row>
    <row r="158" spans="1:8" ht="14" x14ac:dyDescent="0.3">
      <c r="A158" s="293">
        <v>180</v>
      </c>
      <c r="B158" s="293" t="s">
        <v>1111</v>
      </c>
      <c r="C158" s="293" t="s">
        <v>1105</v>
      </c>
      <c r="D158" s="295" t="s">
        <v>170</v>
      </c>
      <c r="E158" s="295">
        <v>1</v>
      </c>
      <c r="F158" s="250">
        <f ca="1">VLOOKUP($D158,Data!$C:$I,7,FALSE)</f>
        <v>0</v>
      </c>
      <c r="G158" s="296" t="str">
        <f t="shared" si="46"/>
        <v>PR.AC-31</v>
      </c>
      <c r="H158" s="296" t="str">
        <f t="shared" ca="1" si="47"/>
        <v>PR.AC-310</v>
      </c>
    </row>
    <row r="159" spans="1:8" ht="14" x14ac:dyDescent="0.3">
      <c r="A159" s="293">
        <v>181</v>
      </c>
      <c r="B159" s="293" t="s">
        <v>1111</v>
      </c>
      <c r="C159" s="293" t="s">
        <v>1106</v>
      </c>
      <c r="D159" s="295" t="s">
        <v>171</v>
      </c>
      <c r="E159" s="295">
        <v>1</v>
      </c>
      <c r="F159" s="250">
        <f ca="1">VLOOKUP($D159,Data!$C:$I,7,FALSE)</f>
        <v>0</v>
      </c>
      <c r="G159" s="296" t="str">
        <f t="shared" si="46"/>
        <v>PR.AC-31</v>
      </c>
      <c r="H159" s="296" t="str">
        <f t="shared" ca="1" si="47"/>
        <v>PR.AC-310</v>
      </c>
    </row>
    <row r="160" spans="1:8" ht="14" x14ac:dyDescent="0.3">
      <c r="A160" s="293">
        <v>182</v>
      </c>
      <c r="B160" s="293" t="s">
        <v>1111</v>
      </c>
      <c r="C160" s="293" t="s">
        <v>1107</v>
      </c>
      <c r="D160" s="295" t="s">
        <v>172</v>
      </c>
      <c r="E160" s="295">
        <v>2</v>
      </c>
      <c r="F160" s="250">
        <f ca="1">VLOOKUP($D160,Data!$C:$I,7,FALSE)</f>
        <v>0</v>
      </c>
      <c r="G160" s="296" t="str">
        <f t="shared" si="46"/>
        <v>PR.AC-32</v>
      </c>
      <c r="H160" s="296" t="str">
        <f t="shared" ca="1" si="47"/>
        <v>PR.AC-320</v>
      </c>
    </row>
    <row r="161" spans="1:8" ht="14" x14ac:dyDescent="0.3">
      <c r="A161" s="293">
        <v>183</v>
      </c>
      <c r="B161" s="293" t="s">
        <v>1111</v>
      </c>
      <c r="C161" s="293" t="s">
        <v>1108</v>
      </c>
      <c r="D161" s="295" t="s">
        <v>173</v>
      </c>
      <c r="E161" s="295">
        <v>2</v>
      </c>
      <c r="F161" s="250">
        <f ca="1">VLOOKUP($D161,Data!$C:$I,7,FALSE)</f>
        <v>0</v>
      </c>
      <c r="G161" s="296" t="str">
        <f t="shared" si="46"/>
        <v>PR.AC-32</v>
      </c>
      <c r="H161" s="296" t="str">
        <f t="shared" ca="1" si="47"/>
        <v>PR.AC-320</v>
      </c>
    </row>
    <row r="162" spans="1:8" ht="14" x14ac:dyDescent="0.3">
      <c r="A162" s="293">
        <v>184</v>
      </c>
      <c r="B162" s="293" t="s">
        <v>1111</v>
      </c>
      <c r="C162" s="293" t="s">
        <v>1109</v>
      </c>
      <c r="D162" s="295" t="s">
        <v>174</v>
      </c>
      <c r="E162" s="295">
        <v>2</v>
      </c>
      <c r="F162" s="250">
        <f ca="1">VLOOKUP($D162,Data!$C:$I,7,FALSE)</f>
        <v>0</v>
      </c>
      <c r="G162" s="296" t="str">
        <f t="shared" si="46"/>
        <v>PR.AC-32</v>
      </c>
      <c r="H162" s="296" t="str">
        <f t="shared" ca="1" si="47"/>
        <v>PR.AC-320</v>
      </c>
    </row>
    <row r="163" spans="1:8" ht="14" x14ac:dyDescent="0.3">
      <c r="A163" s="293">
        <v>185</v>
      </c>
      <c r="B163" s="293" t="s">
        <v>1111</v>
      </c>
      <c r="C163" s="293" t="s">
        <v>1110</v>
      </c>
      <c r="D163" s="295" t="s">
        <v>175</v>
      </c>
      <c r="E163" s="295">
        <v>3</v>
      </c>
      <c r="F163" s="250">
        <f ca="1">VLOOKUP($D163,Data!$C:$I,7,FALSE)</f>
        <v>0</v>
      </c>
      <c r="G163" s="296" t="str">
        <f t="shared" si="46"/>
        <v>PR.AC-33</v>
      </c>
      <c r="H163" s="296" t="str">
        <f t="shared" ca="1" si="47"/>
        <v>PR.AC-330</v>
      </c>
    </row>
    <row r="164" spans="1:8" ht="14" x14ac:dyDescent="0.3">
      <c r="A164" s="293">
        <v>186</v>
      </c>
      <c r="B164" s="293" t="s">
        <v>1112</v>
      </c>
      <c r="C164" s="293" t="s">
        <v>1107</v>
      </c>
      <c r="D164" s="295" t="s">
        <v>172</v>
      </c>
      <c r="E164" s="295">
        <v>2</v>
      </c>
      <c r="F164" s="250">
        <f ca="1">VLOOKUP($D164,Data!$C:$I,7,FALSE)</f>
        <v>0</v>
      </c>
      <c r="G164" s="296" t="str">
        <f t="shared" si="46"/>
        <v>PR.AC-42</v>
      </c>
      <c r="H164" s="296" t="str">
        <f t="shared" ca="1" si="47"/>
        <v>PR.AC-420</v>
      </c>
    </row>
    <row r="165" spans="1:8" ht="14" x14ac:dyDescent="0.3">
      <c r="A165" s="293">
        <v>187</v>
      </c>
      <c r="B165" s="293" t="s">
        <v>1113</v>
      </c>
      <c r="C165" s="293" t="s">
        <v>1114</v>
      </c>
      <c r="D165" s="295" t="s">
        <v>351</v>
      </c>
      <c r="E165" s="295">
        <v>2</v>
      </c>
      <c r="F165" s="250">
        <f ca="1">VLOOKUP($D165,Data!$C:$I,7,FALSE)</f>
        <v>0</v>
      </c>
      <c r="G165" s="296" t="str">
        <f t="shared" si="46"/>
        <v>PR.AC-52</v>
      </c>
      <c r="H165" s="296" t="str">
        <f t="shared" ca="1" si="47"/>
        <v>PR.AC-520</v>
      </c>
    </row>
    <row r="166" spans="1:8" ht="14" x14ac:dyDescent="0.3">
      <c r="A166" s="293">
        <v>188</v>
      </c>
      <c r="B166" s="293" t="s">
        <v>1113</v>
      </c>
      <c r="C166" s="293" t="s">
        <v>1115</v>
      </c>
      <c r="D166" s="295" t="s">
        <v>354</v>
      </c>
      <c r="E166" s="295">
        <v>2</v>
      </c>
      <c r="F166" s="250">
        <f ca="1">VLOOKUP($D166,Data!$C:$I,7,FALSE)</f>
        <v>0</v>
      </c>
      <c r="G166" s="296" t="str">
        <f t="shared" si="46"/>
        <v>PR.AC-52</v>
      </c>
      <c r="H166" s="296" t="str">
        <f t="shared" ca="1" si="47"/>
        <v>PR.AC-520</v>
      </c>
    </row>
    <row r="167" spans="1:8" ht="14" x14ac:dyDescent="0.3">
      <c r="A167" s="293">
        <v>189</v>
      </c>
      <c r="B167" s="293" t="s">
        <v>1113</v>
      </c>
      <c r="C167" s="293" t="s">
        <v>1116</v>
      </c>
      <c r="D167" s="295" t="s">
        <v>358</v>
      </c>
      <c r="E167" s="295">
        <v>1</v>
      </c>
      <c r="F167" s="250">
        <f ca="1">VLOOKUP($D167,Data!$C:$I,7,FALSE)</f>
        <v>0</v>
      </c>
      <c r="G167" s="296" t="str">
        <f t="shared" si="46"/>
        <v>PR.AC-51</v>
      </c>
      <c r="H167" s="296" t="str">
        <f t="shared" ca="1" si="47"/>
        <v>PR.AC-510</v>
      </c>
    </row>
    <row r="168" spans="1:8" ht="14" x14ac:dyDescent="0.3">
      <c r="A168" s="293">
        <v>191</v>
      </c>
      <c r="B168" s="293" t="s">
        <v>1117</v>
      </c>
      <c r="C168" s="293" t="s">
        <v>1100</v>
      </c>
      <c r="D168" s="295" t="s">
        <v>166</v>
      </c>
      <c r="E168" s="295">
        <v>2</v>
      </c>
      <c r="F168" s="250">
        <f ca="1">VLOOKUP($D168,Data!$C:$I,7,FALSE)</f>
        <v>0</v>
      </c>
      <c r="G168" s="296" t="str">
        <f t="shared" si="46"/>
        <v>PR.AC-62</v>
      </c>
      <c r="H168" s="296" t="str">
        <f t="shared" ca="1" si="47"/>
        <v>PR.AC-620</v>
      </c>
    </row>
    <row r="169" spans="1:8" ht="14" x14ac:dyDescent="0.3">
      <c r="A169" s="293">
        <v>192</v>
      </c>
      <c r="B169" s="293" t="s">
        <v>1118</v>
      </c>
      <c r="C169" s="293" t="s">
        <v>1104</v>
      </c>
      <c r="D169" s="295" t="s">
        <v>169</v>
      </c>
      <c r="E169" s="295">
        <v>1</v>
      </c>
      <c r="F169" s="250">
        <f ca="1">VLOOKUP($D169,Data!$C:$I,7,FALSE)</f>
        <v>0</v>
      </c>
      <c r="G169" s="296" t="str">
        <f t="shared" si="46"/>
        <v>PR.AC-71</v>
      </c>
      <c r="H169" s="296" t="str">
        <f t="shared" ca="1" si="47"/>
        <v>PR.AC-710</v>
      </c>
    </row>
    <row r="170" spans="1:8" ht="14" x14ac:dyDescent="0.3">
      <c r="A170" s="293">
        <v>193</v>
      </c>
      <c r="B170" s="293" t="s">
        <v>1118</v>
      </c>
      <c r="C170" s="293" t="s">
        <v>1102</v>
      </c>
      <c r="D170" s="295" t="s">
        <v>168</v>
      </c>
      <c r="E170" s="295">
        <v>3</v>
      </c>
      <c r="F170" s="250">
        <f ca="1">VLOOKUP($D170,Data!$C:$I,7,FALSE)</f>
        <v>0</v>
      </c>
      <c r="G170" s="296" t="str">
        <f t="shared" si="46"/>
        <v>PR.AC-73</v>
      </c>
      <c r="H170" s="296" t="str">
        <f t="shared" ca="1" si="47"/>
        <v>PR.AC-730</v>
      </c>
    </row>
    <row r="171" spans="1:8" ht="14" x14ac:dyDescent="0.3">
      <c r="A171" s="293">
        <v>194</v>
      </c>
      <c r="B171" s="293" t="s">
        <v>989</v>
      </c>
      <c r="C171" s="293" t="s">
        <v>1119</v>
      </c>
      <c r="D171" s="295" t="s">
        <v>325</v>
      </c>
      <c r="E171" s="295">
        <v>1</v>
      </c>
      <c r="F171" s="250">
        <f ca="1">VLOOKUP($D171,Data!$C:$I,7,FALSE)</f>
        <v>0</v>
      </c>
      <c r="G171" s="296" t="str">
        <f t="shared" si="46"/>
        <v>PR.AT-11</v>
      </c>
      <c r="H171" s="296" t="str">
        <f t="shared" ca="1" si="47"/>
        <v>PR.AT-110</v>
      </c>
    </row>
    <row r="172" spans="1:8" ht="14" x14ac:dyDescent="0.3">
      <c r="A172" s="293">
        <v>195</v>
      </c>
      <c r="B172" s="293" t="s">
        <v>989</v>
      </c>
      <c r="C172" s="293" t="s">
        <v>1120</v>
      </c>
      <c r="D172" s="295" t="s">
        <v>337</v>
      </c>
      <c r="E172" s="295">
        <v>1</v>
      </c>
      <c r="F172" s="250">
        <f ca="1">VLOOKUP($D172,Data!$C:$I,7,FALSE)</f>
        <v>0</v>
      </c>
      <c r="G172" s="296" t="str">
        <f t="shared" si="46"/>
        <v>PR.AT-11</v>
      </c>
      <c r="H172" s="296" t="str">
        <f t="shared" ca="1" si="47"/>
        <v>PR.AT-110</v>
      </c>
    </row>
    <row r="173" spans="1:8" ht="14" x14ac:dyDescent="0.3">
      <c r="A173" s="293">
        <v>196</v>
      </c>
      <c r="B173" s="293" t="s">
        <v>989</v>
      </c>
      <c r="C173" s="293" t="s">
        <v>1121</v>
      </c>
      <c r="D173" s="295" t="s">
        <v>326</v>
      </c>
      <c r="E173" s="295">
        <v>1</v>
      </c>
      <c r="F173" s="250">
        <f ca="1">VLOOKUP($D173,Data!$C:$I,7,FALSE)</f>
        <v>0</v>
      </c>
      <c r="G173" s="296" t="str">
        <f t="shared" si="46"/>
        <v>PR.AT-11</v>
      </c>
      <c r="H173" s="296" t="str">
        <f t="shared" ca="1" si="47"/>
        <v>PR.AT-110</v>
      </c>
    </row>
    <row r="174" spans="1:8" ht="14" x14ac:dyDescent="0.3">
      <c r="A174" s="293">
        <v>197</v>
      </c>
      <c r="B174" s="293" t="s">
        <v>989</v>
      </c>
      <c r="C174" s="293" t="s">
        <v>1122</v>
      </c>
      <c r="D174" s="295" t="s">
        <v>327</v>
      </c>
      <c r="E174" s="295">
        <v>2</v>
      </c>
      <c r="F174" s="250">
        <f ca="1">VLOOKUP($D174,Data!$C:$I,7,FALSE)</f>
        <v>0</v>
      </c>
      <c r="G174" s="296" t="str">
        <f t="shared" si="46"/>
        <v>PR.AT-12</v>
      </c>
      <c r="H174" s="296" t="str">
        <f t="shared" ca="1" si="47"/>
        <v>PR.AT-120</v>
      </c>
    </row>
    <row r="175" spans="1:8" ht="14" x14ac:dyDescent="0.3">
      <c r="A175" s="293">
        <v>198</v>
      </c>
      <c r="B175" s="293" t="s">
        <v>989</v>
      </c>
      <c r="C175" s="293" t="s">
        <v>1123</v>
      </c>
      <c r="D175" s="295" t="s">
        <v>328</v>
      </c>
      <c r="E175" s="295">
        <v>2</v>
      </c>
      <c r="F175" s="250">
        <f ca="1">VLOOKUP($D175,Data!$C:$I,7,FALSE)</f>
        <v>0</v>
      </c>
      <c r="G175" s="296" t="str">
        <f t="shared" si="46"/>
        <v>PR.AT-12</v>
      </c>
      <c r="H175" s="296" t="str">
        <f t="shared" ca="1" si="47"/>
        <v>PR.AT-120</v>
      </c>
    </row>
    <row r="176" spans="1:8" ht="14" x14ac:dyDescent="0.3">
      <c r="A176" s="293">
        <v>200</v>
      </c>
      <c r="B176" s="293" t="s">
        <v>989</v>
      </c>
      <c r="C176" s="293" t="s">
        <v>1124</v>
      </c>
      <c r="D176" s="295" t="s">
        <v>329</v>
      </c>
      <c r="E176" s="295">
        <v>3</v>
      </c>
      <c r="F176" s="250">
        <f ca="1">VLOOKUP($D176,Data!$C:$I,7,FALSE)</f>
        <v>0</v>
      </c>
      <c r="G176" s="296" t="str">
        <f t="shared" si="46"/>
        <v>PR.AT-13</v>
      </c>
      <c r="H176" s="296" t="str">
        <f t="shared" ca="1" si="47"/>
        <v>PR.AT-130</v>
      </c>
    </row>
    <row r="177" spans="1:8" ht="14" x14ac:dyDescent="0.3">
      <c r="A177" s="293">
        <v>201</v>
      </c>
      <c r="B177" s="293" t="s">
        <v>989</v>
      </c>
      <c r="C177" s="293" t="s">
        <v>1125</v>
      </c>
      <c r="D177" s="295" t="s">
        <v>330</v>
      </c>
      <c r="E177" s="295">
        <v>3</v>
      </c>
      <c r="F177" s="250">
        <f ca="1">VLOOKUP($D177,Data!$C:$I,7,FALSE)</f>
        <v>0</v>
      </c>
      <c r="G177" s="296" t="str">
        <f t="shared" si="46"/>
        <v>PR.AT-13</v>
      </c>
      <c r="H177" s="296" t="str">
        <f t="shared" ca="1" si="47"/>
        <v>PR.AT-130</v>
      </c>
    </row>
    <row r="178" spans="1:8" ht="14" x14ac:dyDescent="0.3">
      <c r="A178" s="293">
        <v>202</v>
      </c>
      <c r="B178" s="293" t="s">
        <v>990</v>
      </c>
      <c r="C178" s="293" t="s">
        <v>1020</v>
      </c>
      <c r="D178" s="295" t="s">
        <v>319</v>
      </c>
      <c r="E178" s="295">
        <v>1</v>
      </c>
      <c r="F178" s="250">
        <f ca="1">VLOOKUP($D178,Data!$C:$I,7,FALSE)</f>
        <v>0</v>
      </c>
      <c r="G178" s="296" t="str">
        <f t="shared" si="46"/>
        <v>PR.AT-21</v>
      </c>
      <c r="H178" s="296" t="str">
        <f t="shared" ca="1" si="47"/>
        <v>PR.AT-210</v>
      </c>
    </row>
    <row r="179" spans="1:8" ht="14" x14ac:dyDescent="0.3">
      <c r="A179" s="293">
        <v>203</v>
      </c>
      <c r="B179" s="293" t="s">
        <v>990</v>
      </c>
      <c r="C179" s="293" t="s">
        <v>1021</v>
      </c>
      <c r="D179" s="295" t="s">
        <v>320</v>
      </c>
      <c r="E179" s="295">
        <v>1</v>
      </c>
      <c r="F179" s="250">
        <f ca="1">VLOOKUP($D179,Data!$C:$I,7,FALSE)</f>
        <v>0</v>
      </c>
      <c r="G179" s="296" t="str">
        <f t="shared" si="46"/>
        <v>PR.AT-21</v>
      </c>
      <c r="H179" s="296" t="str">
        <f t="shared" ca="1" si="47"/>
        <v>PR.AT-210</v>
      </c>
    </row>
    <row r="180" spans="1:8" ht="14" x14ac:dyDescent="0.3">
      <c r="A180" s="293">
        <v>204</v>
      </c>
      <c r="B180" s="293" t="s">
        <v>990</v>
      </c>
      <c r="C180" s="293" t="s">
        <v>1022</v>
      </c>
      <c r="D180" s="295" t="s">
        <v>321</v>
      </c>
      <c r="E180" s="295">
        <v>2</v>
      </c>
      <c r="F180" s="250">
        <f ca="1">VLOOKUP($D180,Data!$C:$I,7,FALSE)</f>
        <v>0</v>
      </c>
      <c r="G180" s="296" t="str">
        <f t="shared" si="46"/>
        <v>PR.AT-22</v>
      </c>
      <c r="H180" s="296" t="str">
        <f t="shared" ca="1" si="47"/>
        <v>PR.AT-220</v>
      </c>
    </row>
    <row r="181" spans="1:8" ht="14" x14ac:dyDescent="0.3">
      <c r="A181" s="293">
        <v>205</v>
      </c>
      <c r="B181" s="293" t="s">
        <v>990</v>
      </c>
      <c r="C181" s="293" t="s">
        <v>1126</v>
      </c>
      <c r="D181" s="295" t="s">
        <v>322</v>
      </c>
      <c r="E181" s="295">
        <v>2</v>
      </c>
      <c r="F181" s="250">
        <f ca="1">VLOOKUP($D181,Data!$C:$I,7,FALSE)</f>
        <v>0</v>
      </c>
      <c r="G181" s="296" t="str">
        <f t="shared" si="46"/>
        <v>PR.AT-22</v>
      </c>
      <c r="H181" s="296" t="str">
        <f t="shared" ca="1" si="47"/>
        <v>PR.AT-220</v>
      </c>
    </row>
    <row r="182" spans="1:8" ht="14" x14ac:dyDescent="0.3">
      <c r="A182" s="293">
        <v>206</v>
      </c>
      <c r="B182" s="293" t="s">
        <v>990</v>
      </c>
      <c r="C182" s="293" t="s">
        <v>1040</v>
      </c>
      <c r="D182" s="295" t="s">
        <v>323</v>
      </c>
      <c r="E182" s="295">
        <v>3</v>
      </c>
      <c r="F182" s="250">
        <f ca="1">VLOOKUP($D182,Data!$C:$I,7,FALSE)</f>
        <v>0</v>
      </c>
      <c r="G182" s="296" t="str">
        <f t="shared" si="46"/>
        <v>PR.AT-23</v>
      </c>
      <c r="H182" s="296" t="str">
        <f t="shared" ca="1" si="47"/>
        <v>PR.AT-230</v>
      </c>
    </row>
    <row r="183" spans="1:8" ht="14" x14ac:dyDescent="0.3">
      <c r="A183" s="293">
        <v>208</v>
      </c>
      <c r="B183" s="293" t="s">
        <v>990</v>
      </c>
      <c r="C183" s="293" t="s">
        <v>1041</v>
      </c>
      <c r="D183" s="295" t="s">
        <v>324</v>
      </c>
      <c r="E183" s="295">
        <v>3</v>
      </c>
      <c r="F183" s="250">
        <f ca="1">VLOOKUP($D183,Data!$C:$I,7,FALSE)</f>
        <v>0</v>
      </c>
      <c r="G183" s="296" t="str">
        <f t="shared" si="46"/>
        <v>PR.AT-23</v>
      </c>
      <c r="H183" s="296" t="str">
        <f t="shared" ca="1" si="47"/>
        <v>PR.AT-230</v>
      </c>
    </row>
    <row r="184" spans="1:8" ht="14" x14ac:dyDescent="0.3">
      <c r="A184" s="293">
        <v>209</v>
      </c>
      <c r="B184" s="293" t="s">
        <v>991</v>
      </c>
      <c r="C184" s="293" t="s">
        <v>1020</v>
      </c>
      <c r="D184" s="295" t="s">
        <v>319</v>
      </c>
      <c r="E184" s="295">
        <v>1</v>
      </c>
      <c r="F184" s="250">
        <f ca="1">VLOOKUP($D184,Data!$C:$I,7,FALSE)</f>
        <v>0</v>
      </c>
      <c r="G184" s="296" t="str">
        <f t="shared" si="46"/>
        <v>PR.AT-31</v>
      </c>
      <c r="H184" s="296" t="str">
        <f t="shared" ca="1" si="47"/>
        <v>PR.AT-310</v>
      </c>
    </row>
    <row r="185" spans="1:8" ht="14" x14ac:dyDescent="0.3">
      <c r="A185" s="293">
        <v>210</v>
      </c>
      <c r="B185" s="293" t="s">
        <v>991</v>
      </c>
      <c r="C185" s="293" t="s">
        <v>1021</v>
      </c>
      <c r="D185" s="295" t="s">
        <v>320</v>
      </c>
      <c r="E185" s="295">
        <v>1</v>
      </c>
      <c r="F185" s="250">
        <f ca="1">VLOOKUP($D185,Data!$C:$I,7,FALSE)</f>
        <v>0</v>
      </c>
      <c r="G185" s="296" t="str">
        <f t="shared" si="46"/>
        <v>PR.AT-31</v>
      </c>
      <c r="H185" s="296" t="str">
        <f t="shared" ca="1" si="47"/>
        <v>PR.AT-310</v>
      </c>
    </row>
    <row r="186" spans="1:8" ht="14" x14ac:dyDescent="0.3">
      <c r="A186" s="293">
        <v>211</v>
      </c>
      <c r="B186" s="293" t="s">
        <v>991</v>
      </c>
      <c r="C186" s="293" t="s">
        <v>1022</v>
      </c>
      <c r="D186" s="295" t="s">
        <v>321</v>
      </c>
      <c r="E186" s="295">
        <v>2</v>
      </c>
      <c r="F186" s="250">
        <f ca="1">VLOOKUP($D186,Data!$C:$I,7,FALSE)</f>
        <v>0</v>
      </c>
      <c r="G186" s="296" t="str">
        <f t="shared" si="46"/>
        <v>PR.AT-32</v>
      </c>
      <c r="H186" s="296" t="str">
        <f t="shared" ca="1" si="47"/>
        <v>PR.AT-320</v>
      </c>
    </row>
    <row r="187" spans="1:8" ht="14" x14ac:dyDescent="0.3">
      <c r="A187" s="293">
        <v>212</v>
      </c>
      <c r="B187" s="293" t="s">
        <v>991</v>
      </c>
      <c r="C187" s="293" t="s">
        <v>1126</v>
      </c>
      <c r="D187" s="295" t="s">
        <v>322</v>
      </c>
      <c r="E187" s="295">
        <v>2</v>
      </c>
      <c r="F187" s="250">
        <f ca="1">VLOOKUP($D187,Data!$C:$I,7,FALSE)</f>
        <v>0</v>
      </c>
      <c r="G187" s="296" t="str">
        <f t="shared" si="46"/>
        <v>PR.AT-32</v>
      </c>
      <c r="H187" s="296" t="str">
        <f t="shared" ca="1" si="47"/>
        <v>PR.AT-320</v>
      </c>
    </row>
    <row r="188" spans="1:8" ht="14" x14ac:dyDescent="0.3">
      <c r="A188" s="293">
        <v>213</v>
      </c>
      <c r="B188" s="293" t="s">
        <v>991</v>
      </c>
      <c r="C188" s="293" t="s">
        <v>1040</v>
      </c>
      <c r="D188" s="295" t="s">
        <v>323</v>
      </c>
      <c r="E188" s="295">
        <v>3</v>
      </c>
      <c r="F188" s="250">
        <f ca="1">VLOOKUP($D188,Data!$C:$I,7,FALSE)</f>
        <v>0</v>
      </c>
      <c r="G188" s="296" t="str">
        <f t="shared" si="46"/>
        <v>PR.AT-33</v>
      </c>
      <c r="H188" s="296" t="str">
        <f t="shared" ca="1" si="47"/>
        <v>PR.AT-330</v>
      </c>
    </row>
    <row r="189" spans="1:8" ht="14" x14ac:dyDescent="0.3">
      <c r="A189" s="293">
        <v>215</v>
      </c>
      <c r="B189" s="293" t="s">
        <v>991</v>
      </c>
      <c r="C189" s="293" t="s">
        <v>1041</v>
      </c>
      <c r="D189" s="295" t="s">
        <v>324</v>
      </c>
      <c r="E189" s="295">
        <v>3</v>
      </c>
      <c r="F189" s="250">
        <f ca="1">VLOOKUP($D189,Data!$C:$I,7,FALSE)</f>
        <v>0</v>
      </c>
      <c r="G189" s="296" t="str">
        <f t="shared" si="46"/>
        <v>PR.AT-33</v>
      </c>
      <c r="H189" s="296" t="str">
        <f t="shared" ca="1" si="47"/>
        <v>PR.AT-330</v>
      </c>
    </row>
    <row r="190" spans="1:8" ht="14" x14ac:dyDescent="0.3">
      <c r="A190" s="293">
        <v>216</v>
      </c>
      <c r="B190" s="293" t="s">
        <v>992</v>
      </c>
      <c r="C190" s="293" t="s">
        <v>1020</v>
      </c>
      <c r="D190" s="295" t="s">
        <v>319</v>
      </c>
      <c r="E190" s="295">
        <v>1</v>
      </c>
      <c r="F190" s="250">
        <f ca="1">VLOOKUP($D190,Data!$C:$I,7,FALSE)</f>
        <v>0</v>
      </c>
      <c r="G190" s="296" t="str">
        <f t="shared" si="46"/>
        <v>PR.AT-41</v>
      </c>
      <c r="H190" s="296" t="str">
        <f t="shared" ca="1" si="47"/>
        <v>PR.AT-410</v>
      </c>
    </row>
    <row r="191" spans="1:8" ht="14" x14ac:dyDescent="0.3">
      <c r="A191" s="293">
        <v>217</v>
      </c>
      <c r="B191" s="293" t="s">
        <v>992</v>
      </c>
      <c r="C191" s="293" t="s">
        <v>1021</v>
      </c>
      <c r="D191" s="295" t="s">
        <v>320</v>
      </c>
      <c r="E191" s="295">
        <v>1</v>
      </c>
      <c r="F191" s="250">
        <f ca="1">VLOOKUP($D191,Data!$C:$I,7,FALSE)</f>
        <v>0</v>
      </c>
      <c r="G191" s="296" t="str">
        <f t="shared" si="46"/>
        <v>PR.AT-41</v>
      </c>
      <c r="H191" s="296" t="str">
        <f t="shared" ca="1" si="47"/>
        <v>PR.AT-410</v>
      </c>
    </row>
    <row r="192" spans="1:8" ht="14" x14ac:dyDescent="0.3">
      <c r="A192" s="293">
        <v>218</v>
      </c>
      <c r="B192" s="293" t="s">
        <v>992</v>
      </c>
      <c r="C192" s="293" t="s">
        <v>1022</v>
      </c>
      <c r="D192" s="295" t="s">
        <v>321</v>
      </c>
      <c r="E192" s="295">
        <v>2</v>
      </c>
      <c r="F192" s="250">
        <f ca="1">VLOOKUP($D192,Data!$C:$I,7,FALSE)</f>
        <v>0</v>
      </c>
      <c r="G192" s="296" t="str">
        <f t="shared" si="46"/>
        <v>PR.AT-42</v>
      </c>
      <c r="H192" s="296" t="str">
        <f t="shared" ca="1" si="47"/>
        <v>PR.AT-420</v>
      </c>
    </row>
    <row r="193" spans="1:8" ht="14" x14ac:dyDescent="0.3">
      <c r="A193" s="293">
        <v>219</v>
      </c>
      <c r="B193" s="293" t="s">
        <v>992</v>
      </c>
      <c r="C193" s="293" t="s">
        <v>1126</v>
      </c>
      <c r="D193" s="295" t="s">
        <v>322</v>
      </c>
      <c r="E193" s="295">
        <v>2</v>
      </c>
      <c r="F193" s="250">
        <f ca="1">VLOOKUP($D193,Data!$C:$I,7,FALSE)</f>
        <v>0</v>
      </c>
      <c r="G193" s="296" t="str">
        <f t="shared" si="46"/>
        <v>PR.AT-42</v>
      </c>
      <c r="H193" s="296" t="str">
        <f t="shared" ca="1" si="47"/>
        <v>PR.AT-420</v>
      </c>
    </row>
    <row r="194" spans="1:8" ht="14" x14ac:dyDescent="0.3">
      <c r="A194" s="293">
        <v>220</v>
      </c>
      <c r="B194" s="293" t="s">
        <v>992</v>
      </c>
      <c r="C194" s="293" t="s">
        <v>1040</v>
      </c>
      <c r="D194" s="295" t="s">
        <v>323</v>
      </c>
      <c r="E194" s="295">
        <v>3</v>
      </c>
      <c r="F194" s="250">
        <f ca="1">VLOOKUP($D194,Data!$C:$I,7,FALSE)</f>
        <v>0</v>
      </c>
      <c r="G194" s="296" t="str">
        <f t="shared" ref="G194:G257" si="48">CONCATENATE($B194,$E194)</f>
        <v>PR.AT-43</v>
      </c>
      <c r="H194" s="296" t="str">
        <f t="shared" ref="H194:H257" ca="1" si="49">_xlfn.IFNA(CONCATENATE($B194,$E194,$F194),CONCATENATE($B194,$E194,0))</f>
        <v>PR.AT-430</v>
      </c>
    </row>
    <row r="195" spans="1:8" ht="14" x14ac:dyDescent="0.3">
      <c r="A195" s="293">
        <v>222</v>
      </c>
      <c r="B195" s="293" t="s">
        <v>992</v>
      </c>
      <c r="C195" s="293" t="s">
        <v>1041</v>
      </c>
      <c r="D195" s="295" t="s">
        <v>324</v>
      </c>
      <c r="E195" s="295">
        <v>3</v>
      </c>
      <c r="F195" s="250">
        <f ca="1">VLOOKUP($D195,Data!$C:$I,7,FALSE)</f>
        <v>0</v>
      </c>
      <c r="G195" s="296" t="str">
        <f t="shared" si="48"/>
        <v>PR.AT-43</v>
      </c>
      <c r="H195" s="296" t="str">
        <f t="shared" ca="1" si="49"/>
        <v>PR.AT-430</v>
      </c>
    </row>
    <row r="196" spans="1:8" ht="14" x14ac:dyDescent="0.3">
      <c r="A196" s="293">
        <v>223</v>
      </c>
      <c r="B196" s="293" t="s">
        <v>993</v>
      </c>
      <c r="C196" s="293" t="s">
        <v>1020</v>
      </c>
      <c r="D196" s="295" t="s">
        <v>319</v>
      </c>
      <c r="E196" s="295">
        <v>1</v>
      </c>
      <c r="F196" s="250">
        <f ca="1">VLOOKUP($D196,Data!$C:$I,7,FALSE)</f>
        <v>0</v>
      </c>
      <c r="G196" s="296" t="str">
        <f t="shared" si="48"/>
        <v>PR.AT-51</v>
      </c>
      <c r="H196" s="296" t="str">
        <f t="shared" ca="1" si="49"/>
        <v>PR.AT-510</v>
      </c>
    </row>
    <row r="197" spans="1:8" ht="14" x14ac:dyDescent="0.3">
      <c r="A197" s="293">
        <v>224</v>
      </c>
      <c r="B197" s="293" t="s">
        <v>993</v>
      </c>
      <c r="C197" s="293" t="s">
        <v>1021</v>
      </c>
      <c r="D197" s="295" t="s">
        <v>320</v>
      </c>
      <c r="E197" s="295">
        <v>1</v>
      </c>
      <c r="F197" s="250">
        <f ca="1">VLOOKUP($D197,Data!$C:$I,7,FALSE)</f>
        <v>0</v>
      </c>
      <c r="G197" s="296" t="str">
        <f t="shared" si="48"/>
        <v>PR.AT-51</v>
      </c>
      <c r="H197" s="296" t="str">
        <f t="shared" ca="1" si="49"/>
        <v>PR.AT-510</v>
      </c>
    </row>
    <row r="198" spans="1:8" ht="14" x14ac:dyDescent="0.3">
      <c r="A198" s="293">
        <v>225</v>
      </c>
      <c r="B198" s="293" t="s">
        <v>993</v>
      </c>
      <c r="C198" s="293" t="s">
        <v>1022</v>
      </c>
      <c r="D198" s="295" t="s">
        <v>321</v>
      </c>
      <c r="E198" s="295">
        <v>2</v>
      </c>
      <c r="F198" s="250">
        <f ca="1">VLOOKUP($D198,Data!$C:$I,7,FALSE)</f>
        <v>0</v>
      </c>
      <c r="G198" s="296" t="str">
        <f t="shared" si="48"/>
        <v>PR.AT-52</v>
      </c>
      <c r="H198" s="296" t="str">
        <f t="shared" ca="1" si="49"/>
        <v>PR.AT-520</v>
      </c>
    </row>
    <row r="199" spans="1:8" ht="14" x14ac:dyDescent="0.3">
      <c r="A199" s="293">
        <v>226</v>
      </c>
      <c r="B199" s="293" t="s">
        <v>993</v>
      </c>
      <c r="C199" s="293" t="s">
        <v>1126</v>
      </c>
      <c r="D199" s="295" t="s">
        <v>322</v>
      </c>
      <c r="E199" s="295">
        <v>2</v>
      </c>
      <c r="F199" s="250">
        <f ca="1">VLOOKUP($D199,Data!$C:$I,7,FALSE)</f>
        <v>0</v>
      </c>
      <c r="G199" s="296" t="str">
        <f t="shared" si="48"/>
        <v>PR.AT-52</v>
      </c>
      <c r="H199" s="296" t="str">
        <f t="shared" ca="1" si="49"/>
        <v>PR.AT-520</v>
      </c>
    </row>
    <row r="200" spans="1:8" ht="14" x14ac:dyDescent="0.3">
      <c r="A200" s="293">
        <v>227</v>
      </c>
      <c r="B200" s="293" t="s">
        <v>993</v>
      </c>
      <c r="C200" s="293" t="s">
        <v>1040</v>
      </c>
      <c r="D200" s="295" t="s">
        <v>323</v>
      </c>
      <c r="E200" s="295">
        <v>3</v>
      </c>
      <c r="F200" s="250">
        <f ca="1">VLOOKUP($D200,Data!$C:$I,7,FALSE)</f>
        <v>0</v>
      </c>
      <c r="G200" s="296" t="str">
        <f t="shared" si="48"/>
        <v>PR.AT-53</v>
      </c>
      <c r="H200" s="296" t="str">
        <f t="shared" ca="1" si="49"/>
        <v>PR.AT-530</v>
      </c>
    </row>
    <row r="201" spans="1:8" ht="14" x14ac:dyDescent="0.3">
      <c r="A201" s="293">
        <v>229</v>
      </c>
      <c r="B201" s="293" t="s">
        <v>993</v>
      </c>
      <c r="C201" s="293" t="s">
        <v>1041</v>
      </c>
      <c r="D201" s="295" t="s">
        <v>324</v>
      </c>
      <c r="E201" s="295">
        <v>3</v>
      </c>
      <c r="F201" s="250">
        <f ca="1">VLOOKUP($D201,Data!$C:$I,7,FALSE)</f>
        <v>0</v>
      </c>
      <c r="G201" s="296" t="str">
        <f t="shared" si="48"/>
        <v>PR.AT-53</v>
      </c>
      <c r="H201" s="296" t="str">
        <f t="shared" ca="1" si="49"/>
        <v>PR.AT-530</v>
      </c>
    </row>
    <row r="202" spans="1:8" ht="14" x14ac:dyDescent="0.3">
      <c r="A202" s="293">
        <v>230</v>
      </c>
      <c r="B202" s="293" t="s">
        <v>1127</v>
      </c>
      <c r="C202" s="293" t="s">
        <v>1128</v>
      </c>
      <c r="D202" s="295" t="s">
        <v>188</v>
      </c>
      <c r="E202" s="295">
        <v>1</v>
      </c>
      <c r="F202" s="250">
        <f ca="1">VLOOKUP($D202,Data!$C:$I,7,FALSE)</f>
        <v>0</v>
      </c>
      <c r="G202" s="296" t="str">
        <f t="shared" si="48"/>
        <v>PR.DS-11</v>
      </c>
      <c r="H202" s="296" t="str">
        <f t="shared" ca="1" si="49"/>
        <v>PR.DS-110</v>
      </c>
    </row>
    <row r="203" spans="1:8" ht="14" x14ac:dyDescent="0.3">
      <c r="A203" s="293">
        <v>231</v>
      </c>
      <c r="B203" s="293" t="s">
        <v>1127</v>
      </c>
      <c r="C203" s="293" t="s">
        <v>1129</v>
      </c>
      <c r="D203" s="295" t="s">
        <v>203</v>
      </c>
      <c r="E203" s="295">
        <v>1</v>
      </c>
      <c r="F203" s="250">
        <f ca="1">VLOOKUP($D203,Data!$C:$I,7,FALSE)</f>
        <v>0</v>
      </c>
      <c r="G203" s="296" t="str">
        <f t="shared" si="48"/>
        <v>PR.DS-11</v>
      </c>
      <c r="H203" s="296" t="str">
        <f t="shared" ca="1" si="49"/>
        <v>PR.DS-110</v>
      </c>
    </row>
    <row r="204" spans="1:8" ht="14" x14ac:dyDescent="0.3">
      <c r="A204" s="293">
        <v>232</v>
      </c>
      <c r="B204" s="293" t="s">
        <v>1130</v>
      </c>
      <c r="C204" s="293" t="s">
        <v>1128</v>
      </c>
      <c r="D204" s="295" t="s">
        <v>188</v>
      </c>
      <c r="E204" s="295">
        <v>1</v>
      </c>
      <c r="F204" s="250">
        <f ca="1">VLOOKUP($D204,Data!$C:$I,7,FALSE)</f>
        <v>0</v>
      </c>
      <c r="G204" s="296" t="str">
        <f t="shared" si="48"/>
        <v>PR.DS-21</v>
      </c>
      <c r="H204" s="296" t="str">
        <f t="shared" ca="1" si="49"/>
        <v>PR.DS-210</v>
      </c>
    </row>
    <row r="205" spans="1:8" ht="14" x14ac:dyDescent="0.3">
      <c r="A205" s="293">
        <v>233</v>
      </c>
      <c r="B205" s="293" t="s">
        <v>1130</v>
      </c>
      <c r="C205" s="293" t="s">
        <v>1129</v>
      </c>
      <c r="D205" s="295" t="s">
        <v>203</v>
      </c>
      <c r="E205" s="295">
        <v>1</v>
      </c>
      <c r="F205" s="250">
        <f ca="1">VLOOKUP($D205,Data!$C:$I,7,FALSE)</f>
        <v>0</v>
      </c>
      <c r="G205" s="296" t="str">
        <f t="shared" si="48"/>
        <v>PR.DS-21</v>
      </c>
      <c r="H205" s="296" t="str">
        <f t="shared" ca="1" si="49"/>
        <v>PR.DS-210</v>
      </c>
    </row>
    <row r="206" spans="1:8" ht="14" x14ac:dyDescent="0.3">
      <c r="A206" s="293">
        <v>234</v>
      </c>
      <c r="B206" s="293" t="s">
        <v>994</v>
      </c>
      <c r="C206" s="293" t="s">
        <v>1131</v>
      </c>
      <c r="D206" s="295" t="s">
        <v>125</v>
      </c>
      <c r="E206" s="295">
        <v>1</v>
      </c>
      <c r="F206" s="250">
        <f ca="1">VLOOKUP($D206,Data!$C:$I,7,FALSE)</f>
        <v>0</v>
      </c>
      <c r="G206" s="296" t="str">
        <f t="shared" si="48"/>
        <v>PR.DS-31</v>
      </c>
      <c r="H206" s="296" t="str">
        <f t="shared" ca="1" si="49"/>
        <v>PR.DS-310</v>
      </c>
    </row>
    <row r="207" spans="1:8" ht="14" x14ac:dyDescent="0.3">
      <c r="A207" s="293">
        <v>235</v>
      </c>
      <c r="B207" s="293" t="s">
        <v>994</v>
      </c>
      <c r="C207" s="293" t="s">
        <v>1132</v>
      </c>
      <c r="D207" s="295" t="s">
        <v>128</v>
      </c>
      <c r="E207" s="295">
        <v>1</v>
      </c>
      <c r="F207" s="250">
        <f ca="1">VLOOKUP($D207,Data!$C:$I,7,FALSE)</f>
        <v>0</v>
      </c>
      <c r="G207" s="296" t="str">
        <f t="shared" si="48"/>
        <v>PR.DS-31</v>
      </c>
      <c r="H207" s="296" t="str">
        <f t="shared" ca="1" si="49"/>
        <v>PR.DS-310</v>
      </c>
    </row>
    <row r="208" spans="1:8" ht="14" x14ac:dyDescent="0.3">
      <c r="A208" s="293">
        <v>236</v>
      </c>
      <c r="B208" s="293" t="s">
        <v>994</v>
      </c>
      <c r="C208" s="293" t="s">
        <v>1133</v>
      </c>
      <c r="D208" s="295" t="s">
        <v>131</v>
      </c>
      <c r="E208" s="295">
        <v>2</v>
      </c>
      <c r="F208" s="250">
        <f ca="1">VLOOKUP($D208,Data!$C:$I,7,FALSE)</f>
        <v>0</v>
      </c>
      <c r="G208" s="296" t="str">
        <f t="shared" si="48"/>
        <v>PR.DS-32</v>
      </c>
      <c r="H208" s="296" t="str">
        <f t="shared" ca="1" si="49"/>
        <v>PR.DS-320</v>
      </c>
    </row>
    <row r="209" spans="1:8" ht="14" x14ac:dyDescent="0.3">
      <c r="A209" s="293">
        <v>237</v>
      </c>
      <c r="B209" s="293" t="s">
        <v>994</v>
      </c>
      <c r="C209" s="293" t="s">
        <v>1134</v>
      </c>
      <c r="D209" s="295" t="s">
        <v>134</v>
      </c>
      <c r="E209" s="295">
        <v>2</v>
      </c>
      <c r="F209" s="250">
        <f ca="1">VLOOKUP($D209,Data!$C:$I,7,FALSE)</f>
        <v>0</v>
      </c>
      <c r="G209" s="296" t="str">
        <f t="shared" si="48"/>
        <v>PR.DS-32</v>
      </c>
      <c r="H209" s="296" t="str">
        <f t="shared" ca="1" si="49"/>
        <v>PR.DS-320</v>
      </c>
    </row>
    <row r="210" spans="1:8" ht="14" x14ac:dyDescent="0.3">
      <c r="A210" s="293">
        <v>238</v>
      </c>
      <c r="B210" s="293" t="s">
        <v>994</v>
      </c>
      <c r="C210" s="293" t="s">
        <v>1135</v>
      </c>
      <c r="D210" s="295" t="s">
        <v>142</v>
      </c>
      <c r="E210" s="295">
        <v>2</v>
      </c>
      <c r="F210" s="250">
        <f ca="1">VLOOKUP($D210,Data!$C:$I,7,FALSE)</f>
        <v>0</v>
      </c>
      <c r="G210" s="296" t="str">
        <f t="shared" si="48"/>
        <v>PR.DS-32</v>
      </c>
      <c r="H210" s="296" t="str">
        <f t="shared" ca="1" si="49"/>
        <v>PR.DS-320</v>
      </c>
    </row>
    <row r="211" spans="1:8" ht="14" x14ac:dyDescent="0.3">
      <c r="A211" s="293">
        <v>240</v>
      </c>
      <c r="B211" s="293" t="s">
        <v>994</v>
      </c>
      <c r="C211" s="293" t="s">
        <v>1136</v>
      </c>
      <c r="D211" s="295" t="s">
        <v>145</v>
      </c>
      <c r="E211" s="295">
        <v>2</v>
      </c>
      <c r="F211" s="250">
        <f ca="1">VLOOKUP($D211,Data!$C:$I,7,FALSE)</f>
        <v>0</v>
      </c>
      <c r="G211" s="296" t="str">
        <f t="shared" si="48"/>
        <v>PR.DS-32</v>
      </c>
      <c r="H211" s="296" t="str">
        <f t="shared" ca="1" si="49"/>
        <v>PR.DS-320</v>
      </c>
    </row>
    <row r="212" spans="1:8" ht="14" x14ac:dyDescent="0.3">
      <c r="A212" s="293">
        <v>242</v>
      </c>
      <c r="B212" s="293" t="s">
        <v>994</v>
      </c>
      <c r="C212" s="293" t="s">
        <v>1137</v>
      </c>
      <c r="D212" s="295" t="s">
        <v>139</v>
      </c>
      <c r="E212" s="295">
        <v>3</v>
      </c>
      <c r="F212" s="250">
        <f ca="1">VLOOKUP($D212,Data!$C:$I,7,FALSE)</f>
        <v>0</v>
      </c>
      <c r="G212" s="296" t="str">
        <f t="shared" si="48"/>
        <v>PR.DS-33</v>
      </c>
      <c r="H212" s="296" t="str">
        <f t="shared" ca="1" si="49"/>
        <v>PR.DS-330</v>
      </c>
    </row>
    <row r="213" spans="1:8" ht="14" x14ac:dyDescent="0.3">
      <c r="A213" s="293">
        <v>243</v>
      </c>
      <c r="B213" s="293" t="s">
        <v>994</v>
      </c>
      <c r="C213" s="293" t="s">
        <v>1138</v>
      </c>
      <c r="D213" s="295" t="s">
        <v>153</v>
      </c>
      <c r="E213" s="295">
        <v>3</v>
      </c>
      <c r="F213" s="250">
        <f ca="1">VLOOKUP($D213,Data!$C:$I,7,FALSE)</f>
        <v>0</v>
      </c>
      <c r="G213" s="296" t="str">
        <f t="shared" si="48"/>
        <v>PR.DS-33</v>
      </c>
      <c r="H213" s="296" t="str">
        <f t="shared" ca="1" si="49"/>
        <v>PR.DS-330</v>
      </c>
    </row>
    <row r="214" spans="1:8" ht="14" x14ac:dyDescent="0.3">
      <c r="A214" s="293">
        <v>246</v>
      </c>
      <c r="B214" s="293" t="s">
        <v>1139</v>
      </c>
      <c r="C214" s="293" t="s">
        <v>1128</v>
      </c>
      <c r="D214" s="295" t="s">
        <v>188</v>
      </c>
      <c r="E214" s="295">
        <v>1</v>
      </c>
      <c r="F214" s="250">
        <f ca="1">VLOOKUP($D214,Data!$C:$I,7,FALSE)</f>
        <v>0</v>
      </c>
      <c r="G214" s="296" t="str">
        <f t="shared" si="48"/>
        <v>PR.DS-41</v>
      </c>
      <c r="H214" s="296" t="str">
        <f t="shared" ca="1" si="49"/>
        <v>PR.DS-410</v>
      </c>
    </row>
    <row r="215" spans="1:8" ht="14" x14ac:dyDescent="0.3">
      <c r="A215" s="293">
        <v>247</v>
      </c>
      <c r="B215" s="293" t="s">
        <v>1139</v>
      </c>
      <c r="C215" s="293" t="s">
        <v>1129</v>
      </c>
      <c r="D215" s="295" t="s">
        <v>203</v>
      </c>
      <c r="E215" s="295">
        <v>1</v>
      </c>
      <c r="F215" s="250">
        <f ca="1">VLOOKUP($D215,Data!$C:$I,7,FALSE)</f>
        <v>0</v>
      </c>
      <c r="G215" s="296" t="str">
        <f t="shared" si="48"/>
        <v>PR.DS-41</v>
      </c>
      <c r="H215" s="296" t="str">
        <f t="shared" ca="1" si="49"/>
        <v>PR.DS-410</v>
      </c>
    </row>
    <row r="216" spans="1:8" ht="14" x14ac:dyDescent="0.3">
      <c r="A216" s="293">
        <v>248</v>
      </c>
      <c r="B216" s="293" t="s">
        <v>1139</v>
      </c>
      <c r="C216" s="293" t="s">
        <v>1115</v>
      </c>
      <c r="D216" s="295" t="s">
        <v>354</v>
      </c>
      <c r="E216" s="295">
        <v>2</v>
      </c>
      <c r="F216" s="250">
        <f ca="1">VLOOKUP($D216,Data!$C:$I,7,FALSE)</f>
        <v>0</v>
      </c>
      <c r="G216" s="296" t="str">
        <f t="shared" si="48"/>
        <v>PR.DS-42</v>
      </c>
      <c r="H216" s="296" t="str">
        <f t="shared" ca="1" si="49"/>
        <v>PR.DS-420</v>
      </c>
    </row>
    <row r="217" spans="1:8" ht="14" x14ac:dyDescent="0.3">
      <c r="A217" s="293">
        <v>249</v>
      </c>
      <c r="B217" s="293" t="s">
        <v>1140</v>
      </c>
      <c r="C217" s="293" t="s">
        <v>1128</v>
      </c>
      <c r="D217" s="295" t="s">
        <v>188</v>
      </c>
      <c r="E217" s="295">
        <v>1</v>
      </c>
      <c r="F217" s="250">
        <f ca="1">VLOOKUP($D217,Data!$C:$I,7,FALSE)</f>
        <v>0</v>
      </c>
      <c r="G217" s="296" t="str">
        <f t="shared" si="48"/>
        <v>PR.DS-51</v>
      </c>
      <c r="H217" s="296" t="str">
        <f t="shared" ca="1" si="49"/>
        <v>PR.DS-510</v>
      </c>
    </row>
    <row r="218" spans="1:8" ht="14" x14ac:dyDescent="0.3">
      <c r="A218" s="293">
        <v>250</v>
      </c>
      <c r="B218" s="293" t="s">
        <v>1140</v>
      </c>
      <c r="C218" s="293" t="s">
        <v>1129</v>
      </c>
      <c r="D218" s="295" t="s">
        <v>203</v>
      </c>
      <c r="E218" s="295">
        <v>1</v>
      </c>
      <c r="F218" s="250">
        <f ca="1">VLOOKUP($D218,Data!$C:$I,7,FALSE)</f>
        <v>0</v>
      </c>
      <c r="G218" s="296" t="str">
        <f t="shared" si="48"/>
        <v>PR.DS-51</v>
      </c>
      <c r="H218" s="296" t="str">
        <f t="shared" ca="1" si="49"/>
        <v>PR.DS-510</v>
      </c>
    </row>
    <row r="219" spans="1:8" ht="14" x14ac:dyDescent="0.3">
      <c r="A219" s="293">
        <v>251</v>
      </c>
      <c r="B219" s="293" t="s">
        <v>1140</v>
      </c>
      <c r="C219" s="293" t="s">
        <v>1115</v>
      </c>
      <c r="D219" s="295" t="s">
        <v>354</v>
      </c>
      <c r="E219" s="295">
        <v>2</v>
      </c>
      <c r="F219" s="250">
        <f ca="1">VLOOKUP($D219,Data!$C:$I,7,FALSE)</f>
        <v>0</v>
      </c>
      <c r="G219" s="296" t="str">
        <f t="shared" si="48"/>
        <v>PR.DS-52</v>
      </c>
      <c r="H219" s="296" t="str">
        <f t="shared" ca="1" si="49"/>
        <v>PR.DS-520</v>
      </c>
    </row>
    <row r="220" spans="1:8" ht="14" x14ac:dyDescent="0.3">
      <c r="A220" s="293">
        <v>252</v>
      </c>
      <c r="B220" s="293" t="s">
        <v>1140</v>
      </c>
      <c r="C220" s="293" t="s">
        <v>1141</v>
      </c>
      <c r="D220" s="295" t="s">
        <v>216</v>
      </c>
      <c r="E220" s="295">
        <v>3</v>
      </c>
      <c r="F220" s="250">
        <f ca="1">VLOOKUP($D220,Data!$C:$I,7,FALSE)</f>
        <v>0</v>
      </c>
      <c r="G220" s="296" t="str">
        <f t="shared" si="48"/>
        <v>PR.DS-53</v>
      </c>
      <c r="H220" s="296" t="str">
        <f t="shared" ca="1" si="49"/>
        <v>PR.DS-530</v>
      </c>
    </row>
    <row r="221" spans="1:8" ht="14" x14ac:dyDescent="0.3">
      <c r="A221" s="293">
        <v>253</v>
      </c>
      <c r="B221" s="293" t="s">
        <v>1142</v>
      </c>
      <c r="C221" s="293" t="s">
        <v>1143</v>
      </c>
      <c r="D221" s="295" t="s">
        <v>232</v>
      </c>
      <c r="E221" s="295">
        <v>2</v>
      </c>
      <c r="F221" s="250">
        <f ca="1">VLOOKUP($D221,Data!$C:$I,7,FALSE)</f>
        <v>0</v>
      </c>
      <c r="G221" s="296" t="str">
        <f t="shared" si="48"/>
        <v>PR.DS-62</v>
      </c>
      <c r="H221" s="296" t="str">
        <f t="shared" ca="1" si="49"/>
        <v>PR.DS-620</v>
      </c>
    </row>
    <row r="222" spans="1:8" ht="14" x14ac:dyDescent="0.3">
      <c r="A222" s="293">
        <v>254</v>
      </c>
      <c r="B222" s="293" t="s">
        <v>1142</v>
      </c>
      <c r="C222" s="293" t="s">
        <v>1144</v>
      </c>
      <c r="D222" s="295" t="s">
        <v>236</v>
      </c>
      <c r="E222" s="295">
        <v>3</v>
      </c>
      <c r="F222" s="250">
        <f ca="1">VLOOKUP($D222,Data!$C:$I,7,FALSE)</f>
        <v>0</v>
      </c>
      <c r="G222" s="296" t="str">
        <f t="shared" si="48"/>
        <v>PR.DS-63</v>
      </c>
      <c r="H222" s="296" t="str">
        <f t="shared" ca="1" si="49"/>
        <v>PR.DS-630</v>
      </c>
    </row>
    <row r="223" spans="1:8" ht="14" x14ac:dyDescent="0.3">
      <c r="A223" s="293">
        <v>255</v>
      </c>
      <c r="B223" s="293" t="s">
        <v>1145</v>
      </c>
      <c r="C223" s="293" t="s">
        <v>1133</v>
      </c>
      <c r="D223" s="295" t="s">
        <v>131</v>
      </c>
      <c r="E223" s="295">
        <v>2</v>
      </c>
      <c r="F223" s="250">
        <f ca="1">VLOOKUP($D223,Data!$C:$I,7,FALSE)</f>
        <v>0</v>
      </c>
      <c r="G223" s="296" t="str">
        <f t="shared" si="48"/>
        <v>PR.DS-72</v>
      </c>
      <c r="H223" s="296" t="str">
        <f t="shared" ca="1" si="49"/>
        <v>PR.DS-720</v>
      </c>
    </row>
    <row r="224" spans="1:8" ht="14" x14ac:dyDescent="0.3">
      <c r="A224" s="293">
        <v>256</v>
      </c>
      <c r="B224" s="293" t="s">
        <v>1145</v>
      </c>
      <c r="C224" s="293" t="s">
        <v>1146</v>
      </c>
      <c r="D224" s="295" t="s">
        <v>137</v>
      </c>
      <c r="E224" s="295">
        <v>3</v>
      </c>
      <c r="F224" s="250">
        <f ca="1">VLOOKUP($D224,Data!$C:$I,7,FALSE)</f>
        <v>0</v>
      </c>
      <c r="G224" s="296" t="str">
        <f t="shared" si="48"/>
        <v>PR.DS-73</v>
      </c>
      <c r="H224" s="296" t="str">
        <f t="shared" ca="1" si="49"/>
        <v>PR.DS-730</v>
      </c>
    </row>
    <row r="225" spans="1:8" ht="14" x14ac:dyDescent="0.3">
      <c r="A225" s="293">
        <v>257</v>
      </c>
      <c r="B225" s="293" t="s">
        <v>1147</v>
      </c>
      <c r="C225" s="293" t="s">
        <v>1148</v>
      </c>
      <c r="D225" s="295" t="s">
        <v>114</v>
      </c>
      <c r="E225" s="295">
        <v>1</v>
      </c>
      <c r="F225" s="250">
        <f ca="1">VLOOKUP($D225,Data!$C:$I,7,FALSE)</f>
        <v>0</v>
      </c>
      <c r="G225" s="296" t="str">
        <f t="shared" si="48"/>
        <v>PR.DS-8.DISABLED1</v>
      </c>
      <c r="H225" s="296" t="str">
        <f t="shared" ca="1" si="49"/>
        <v>PR.DS-8.DISABLED10</v>
      </c>
    </row>
    <row r="226" spans="1:8" ht="14" x14ac:dyDescent="0.3">
      <c r="A226" s="293">
        <v>258</v>
      </c>
      <c r="B226" s="293" t="s">
        <v>1147</v>
      </c>
      <c r="C226" s="293" t="s">
        <v>1149</v>
      </c>
      <c r="D226" s="295" t="s">
        <v>116</v>
      </c>
      <c r="E226" s="295">
        <v>1</v>
      </c>
      <c r="F226" s="250">
        <f ca="1">VLOOKUP($D226,Data!$C:$I,7,FALSE)</f>
        <v>0</v>
      </c>
      <c r="G226" s="296" t="str">
        <f t="shared" si="48"/>
        <v>PR.DS-8.DISABLED1</v>
      </c>
      <c r="H226" s="296" t="str">
        <f t="shared" ca="1" si="49"/>
        <v>PR.DS-8.DISABLED10</v>
      </c>
    </row>
    <row r="227" spans="1:8" ht="14" x14ac:dyDescent="0.3">
      <c r="A227" s="293">
        <v>259</v>
      </c>
      <c r="B227" s="293" t="s">
        <v>1147</v>
      </c>
      <c r="C227" s="293" t="s">
        <v>1150</v>
      </c>
      <c r="D227" s="295" t="s">
        <v>226</v>
      </c>
      <c r="E227" s="295">
        <v>2</v>
      </c>
      <c r="F227" s="250">
        <f ca="1">VLOOKUP($D227,Data!$C:$I,7,FALSE)</f>
        <v>0</v>
      </c>
      <c r="G227" s="296" t="str">
        <f t="shared" si="48"/>
        <v>PR.DS-8.DISABLED2</v>
      </c>
      <c r="H227" s="296" t="str">
        <f t="shared" ca="1" si="49"/>
        <v>PR.DS-8.DISABLED20</v>
      </c>
    </row>
    <row r="228" spans="1:8" ht="14" x14ac:dyDescent="0.3">
      <c r="A228" s="293">
        <v>260</v>
      </c>
      <c r="B228" s="293" t="s">
        <v>1147</v>
      </c>
      <c r="C228" s="293" t="s">
        <v>1151</v>
      </c>
      <c r="D228" s="295" t="s">
        <v>120</v>
      </c>
      <c r="E228" s="295">
        <v>3</v>
      </c>
      <c r="F228" s="250">
        <f ca="1">VLOOKUP($D228,Data!$C:$I,7,FALSE)</f>
        <v>0</v>
      </c>
      <c r="G228" s="296" t="str">
        <f t="shared" si="48"/>
        <v>PR.DS-8.DISABLED3</v>
      </c>
      <c r="H228" s="296" t="str">
        <f t="shared" ca="1" si="49"/>
        <v>PR.DS-8.DISABLED30</v>
      </c>
    </row>
    <row r="229" spans="1:8" ht="14" x14ac:dyDescent="0.3">
      <c r="A229" s="293">
        <v>261</v>
      </c>
      <c r="B229" s="293" t="s">
        <v>1152</v>
      </c>
      <c r="C229" s="293" t="s">
        <v>1148</v>
      </c>
      <c r="D229" s="295" t="s">
        <v>114</v>
      </c>
      <c r="E229" s="295">
        <v>1</v>
      </c>
      <c r="F229" s="250">
        <f ca="1">VLOOKUP($D229,Data!$C:$I,7,FALSE)</f>
        <v>0</v>
      </c>
      <c r="G229" s="296" t="str">
        <f t="shared" si="48"/>
        <v>PR.IP-11</v>
      </c>
      <c r="H229" s="296" t="str">
        <f t="shared" ca="1" si="49"/>
        <v>PR.IP-110</v>
      </c>
    </row>
    <row r="230" spans="1:8" ht="14" x14ac:dyDescent="0.3">
      <c r="A230" s="293">
        <v>262</v>
      </c>
      <c r="B230" s="293" t="s">
        <v>1152</v>
      </c>
      <c r="C230" s="293" t="s">
        <v>1149</v>
      </c>
      <c r="D230" s="295" t="s">
        <v>116</v>
      </c>
      <c r="E230" s="295">
        <v>1</v>
      </c>
      <c r="F230" s="250">
        <f ca="1">VLOOKUP($D230,Data!$C:$I,7,FALSE)</f>
        <v>0</v>
      </c>
      <c r="G230" s="296" t="str">
        <f t="shared" si="48"/>
        <v>PR.IP-11</v>
      </c>
      <c r="H230" s="296" t="str">
        <f t="shared" ca="1" si="49"/>
        <v>PR.IP-110</v>
      </c>
    </row>
    <row r="231" spans="1:8" ht="14" x14ac:dyDescent="0.3">
      <c r="A231" s="293">
        <v>263</v>
      </c>
      <c r="B231" s="293" t="s">
        <v>1152</v>
      </c>
      <c r="C231" s="293" t="s">
        <v>1153</v>
      </c>
      <c r="D231" s="295" t="s">
        <v>118</v>
      </c>
      <c r="E231" s="295">
        <v>2</v>
      </c>
      <c r="F231" s="250">
        <f ca="1">VLOOKUP($D231,Data!$C:$I,7,FALSE)</f>
        <v>0</v>
      </c>
      <c r="G231" s="296" t="str">
        <f t="shared" si="48"/>
        <v>PR.IP-12</v>
      </c>
      <c r="H231" s="296" t="str">
        <f t="shared" ca="1" si="49"/>
        <v>PR.IP-120</v>
      </c>
    </row>
    <row r="232" spans="1:8" ht="14" x14ac:dyDescent="0.3">
      <c r="A232" s="293">
        <v>264</v>
      </c>
      <c r="B232" s="293" t="s">
        <v>1152</v>
      </c>
      <c r="C232" s="293" t="s">
        <v>1151</v>
      </c>
      <c r="D232" s="295" t="s">
        <v>120</v>
      </c>
      <c r="E232" s="295">
        <v>3</v>
      </c>
      <c r="F232" s="250">
        <f ca="1">VLOOKUP($D232,Data!$C:$I,7,FALSE)</f>
        <v>0</v>
      </c>
      <c r="G232" s="296" t="str">
        <f t="shared" si="48"/>
        <v>PR.IP-13</v>
      </c>
      <c r="H232" s="296" t="str">
        <f t="shared" ca="1" si="49"/>
        <v>PR.IP-130</v>
      </c>
    </row>
    <row r="233" spans="1:8" ht="14" x14ac:dyDescent="0.3">
      <c r="A233" s="293">
        <v>265</v>
      </c>
      <c r="B233" s="293" t="s">
        <v>1152</v>
      </c>
      <c r="C233" s="293" t="s">
        <v>1154</v>
      </c>
      <c r="D233" s="295" t="s">
        <v>122</v>
      </c>
      <c r="E233" s="295">
        <v>3</v>
      </c>
      <c r="F233" s="250">
        <f ca="1">VLOOKUP($D233,Data!$C:$I,7,FALSE)</f>
        <v>0</v>
      </c>
      <c r="G233" s="296" t="str">
        <f t="shared" si="48"/>
        <v>PR.IP-13</v>
      </c>
      <c r="H233" s="296" t="str">
        <f t="shared" ca="1" si="49"/>
        <v>PR.IP-130</v>
      </c>
    </row>
    <row r="234" spans="1:8" ht="14" x14ac:dyDescent="0.3">
      <c r="A234" s="293">
        <v>266</v>
      </c>
      <c r="B234" s="293" t="s">
        <v>1155</v>
      </c>
      <c r="C234" s="293" t="s">
        <v>1134</v>
      </c>
      <c r="D234" s="295" t="s">
        <v>134</v>
      </c>
      <c r="E234" s="295">
        <v>2</v>
      </c>
      <c r="F234" s="250">
        <f ca="1">VLOOKUP($D234,Data!$C:$I,7,FALSE)</f>
        <v>0</v>
      </c>
      <c r="G234" s="296" t="str">
        <f t="shared" si="48"/>
        <v>PR.IP-22</v>
      </c>
      <c r="H234" s="296" t="str">
        <f t="shared" ca="1" si="49"/>
        <v>PR.IP-220</v>
      </c>
    </row>
    <row r="235" spans="1:8" ht="14" x14ac:dyDescent="0.3">
      <c r="A235" s="293">
        <v>267</v>
      </c>
      <c r="B235" s="293" t="s">
        <v>1156</v>
      </c>
      <c r="C235" s="293" t="s">
        <v>1131</v>
      </c>
      <c r="D235" s="295" t="s">
        <v>125</v>
      </c>
      <c r="E235" s="295">
        <v>1</v>
      </c>
      <c r="F235" s="250">
        <f ca="1">VLOOKUP($D235,Data!$C:$I,7,FALSE)</f>
        <v>0</v>
      </c>
      <c r="G235" s="296" t="str">
        <f t="shared" si="48"/>
        <v>PR.IP-31</v>
      </c>
      <c r="H235" s="296" t="str">
        <f t="shared" ca="1" si="49"/>
        <v>PR.IP-310</v>
      </c>
    </row>
    <row r="236" spans="1:8" ht="14" x14ac:dyDescent="0.3">
      <c r="A236" s="293">
        <v>268</v>
      </c>
      <c r="B236" s="293" t="s">
        <v>1156</v>
      </c>
      <c r="C236" s="293" t="s">
        <v>1132</v>
      </c>
      <c r="D236" s="295" t="s">
        <v>128</v>
      </c>
      <c r="E236" s="295">
        <v>1</v>
      </c>
      <c r="F236" s="250">
        <f ca="1">VLOOKUP($D236,Data!$C:$I,7,FALSE)</f>
        <v>0</v>
      </c>
      <c r="G236" s="296" t="str">
        <f t="shared" si="48"/>
        <v>PR.IP-31</v>
      </c>
      <c r="H236" s="296" t="str">
        <f t="shared" ca="1" si="49"/>
        <v>PR.IP-310</v>
      </c>
    </row>
    <row r="237" spans="1:8" ht="14" x14ac:dyDescent="0.3">
      <c r="A237" s="293">
        <v>269</v>
      </c>
      <c r="B237" s="293" t="s">
        <v>1156</v>
      </c>
      <c r="C237" s="293" t="s">
        <v>1133</v>
      </c>
      <c r="D237" s="295" t="s">
        <v>131</v>
      </c>
      <c r="E237" s="295">
        <v>2</v>
      </c>
      <c r="F237" s="250">
        <f ca="1">VLOOKUP($D237,Data!$C:$I,7,FALSE)</f>
        <v>0</v>
      </c>
      <c r="G237" s="296" t="str">
        <f t="shared" si="48"/>
        <v>PR.IP-32</v>
      </c>
      <c r="H237" s="296" t="str">
        <f t="shared" ca="1" si="49"/>
        <v>PR.IP-320</v>
      </c>
    </row>
    <row r="238" spans="1:8" ht="14" x14ac:dyDescent="0.3">
      <c r="A238" s="293">
        <v>270</v>
      </c>
      <c r="B238" s="293" t="s">
        <v>1156</v>
      </c>
      <c r="C238" s="293" t="s">
        <v>1134</v>
      </c>
      <c r="D238" s="295" t="s">
        <v>134</v>
      </c>
      <c r="E238" s="295">
        <v>2</v>
      </c>
      <c r="F238" s="250">
        <f ca="1">VLOOKUP($D238,Data!$C:$I,7,FALSE)</f>
        <v>0</v>
      </c>
      <c r="G238" s="296" t="str">
        <f t="shared" si="48"/>
        <v>PR.IP-32</v>
      </c>
      <c r="H238" s="296" t="str">
        <f t="shared" ca="1" si="49"/>
        <v>PR.IP-320</v>
      </c>
    </row>
    <row r="239" spans="1:8" ht="14" x14ac:dyDescent="0.3">
      <c r="A239" s="293">
        <v>271</v>
      </c>
      <c r="B239" s="293" t="s">
        <v>1156</v>
      </c>
      <c r="C239" s="293" t="s">
        <v>1135</v>
      </c>
      <c r="D239" s="295" t="s">
        <v>142</v>
      </c>
      <c r="E239" s="295">
        <v>2</v>
      </c>
      <c r="F239" s="250">
        <f ca="1">VLOOKUP($D239,Data!$C:$I,7,FALSE)</f>
        <v>0</v>
      </c>
      <c r="G239" s="296" t="str">
        <f t="shared" si="48"/>
        <v>PR.IP-32</v>
      </c>
      <c r="H239" s="296" t="str">
        <f t="shared" ca="1" si="49"/>
        <v>PR.IP-320</v>
      </c>
    </row>
    <row r="240" spans="1:8" ht="14" x14ac:dyDescent="0.3">
      <c r="A240" s="293">
        <v>272</v>
      </c>
      <c r="B240" s="293" t="s">
        <v>1156</v>
      </c>
      <c r="C240" s="293" t="s">
        <v>1146</v>
      </c>
      <c r="D240" s="295" t="s">
        <v>137</v>
      </c>
      <c r="E240" s="295">
        <v>3</v>
      </c>
      <c r="F240" s="250">
        <f ca="1">VLOOKUP($D240,Data!$C:$I,7,FALSE)</f>
        <v>0</v>
      </c>
      <c r="G240" s="296" t="str">
        <f t="shared" si="48"/>
        <v>PR.IP-33</v>
      </c>
      <c r="H240" s="296" t="str">
        <f t="shared" ca="1" si="49"/>
        <v>PR.IP-330</v>
      </c>
    </row>
    <row r="241" spans="1:8" ht="14" x14ac:dyDescent="0.3">
      <c r="A241" s="293">
        <v>273</v>
      </c>
      <c r="B241" s="293" t="s">
        <v>1156</v>
      </c>
      <c r="C241" s="293" t="s">
        <v>1137</v>
      </c>
      <c r="D241" s="295" t="s">
        <v>139</v>
      </c>
      <c r="E241" s="295">
        <v>3</v>
      </c>
      <c r="F241" s="250">
        <f ca="1">VLOOKUP($D241,Data!$C:$I,7,FALSE)</f>
        <v>0</v>
      </c>
      <c r="G241" s="296" t="str">
        <f t="shared" si="48"/>
        <v>PR.IP-33</v>
      </c>
      <c r="H241" s="296" t="str">
        <f t="shared" ca="1" si="49"/>
        <v>PR.IP-330</v>
      </c>
    </row>
    <row r="242" spans="1:8" ht="14" x14ac:dyDescent="0.3">
      <c r="A242" s="293">
        <v>274</v>
      </c>
      <c r="B242" s="293" t="s">
        <v>1156</v>
      </c>
      <c r="C242" s="293" t="s">
        <v>1138</v>
      </c>
      <c r="D242" s="295" t="s">
        <v>153</v>
      </c>
      <c r="E242" s="295">
        <v>3</v>
      </c>
      <c r="F242" s="250">
        <f ca="1">VLOOKUP($D242,Data!$C:$I,7,FALSE)</f>
        <v>0</v>
      </c>
      <c r="G242" s="296" t="str">
        <f t="shared" si="48"/>
        <v>PR.IP-33</v>
      </c>
      <c r="H242" s="296" t="str">
        <f t="shared" ca="1" si="49"/>
        <v>PR.IP-330</v>
      </c>
    </row>
    <row r="243" spans="1:8" ht="14" x14ac:dyDescent="0.3">
      <c r="A243" s="293">
        <v>275</v>
      </c>
      <c r="B243" s="293" t="s">
        <v>1157</v>
      </c>
      <c r="C243" s="293" t="s">
        <v>1031</v>
      </c>
      <c r="D243" s="295" t="s">
        <v>406</v>
      </c>
      <c r="E243" s="295">
        <v>2</v>
      </c>
      <c r="F243" s="250">
        <f ca="1">VLOOKUP($D243,Data!$C:$I,7,FALSE)</f>
        <v>0</v>
      </c>
      <c r="G243" s="296" t="str">
        <f t="shared" si="48"/>
        <v>PR.IP-42</v>
      </c>
      <c r="H243" s="296" t="str">
        <f t="shared" ca="1" si="49"/>
        <v>PR.IP-420</v>
      </c>
    </row>
    <row r="244" spans="1:8" ht="14" x14ac:dyDescent="0.3">
      <c r="A244" s="293">
        <v>276</v>
      </c>
      <c r="B244" s="293" t="s">
        <v>1157</v>
      </c>
      <c r="C244" s="293" t="s">
        <v>1032</v>
      </c>
      <c r="D244" s="295" t="s">
        <v>406</v>
      </c>
      <c r="E244" s="295">
        <v>2</v>
      </c>
      <c r="F244" s="250">
        <f ca="1">VLOOKUP($D244,Data!$C:$I,7,FALSE)</f>
        <v>0</v>
      </c>
      <c r="G244" s="296" t="str">
        <f t="shared" si="48"/>
        <v>PR.IP-42</v>
      </c>
      <c r="H244" s="296" t="str">
        <f t="shared" ca="1" si="49"/>
        <v>PR.IP-420</v>
      </c>
    </row>
    <row r="245" spans="1:8" ht="14" x14ac:dyDescent="0.3">
      <c r="A245" s="293">
        <v>279</v>
      </c>
      <c r="B245" s="293" t="s">
        <v>1158</v>
      </c>
      <c r="C245" s="293" t="s">
        <v>1134</v>
      </c>
      <c r="D245" s="295" t="s">
        <v>134</v>
      </c>
      <c r="E245" s="295">
        <v>2</v>
      </c>
      <c r="F245" s="250">
        <f ca="1">VLOOKUP($D245,Data!$C:$I,7,FALSE)</f>
        <v>0</v>
      </c>
      <c r="G245" s="296" t="str">
        <f t="shared" si="48"/>
        <v>PR.IP-62</v>
      </c>
      <c r="H245" s="296" t="str">
        <f t="shared" ca="1" si="49"/>
        <v>PR.IP-620</v>
      </c>
    </row>
    <row r="246" spans="1:8" ht="14" x14ac:dyDescent="0.3">
      <c r="A246" s="293">
        <v>280</v>
      </c>
      <c r="B246" s="293" t="s">
        <v>1159</v>
      </c>
      <c r="C246" s="293" t="s">
        <v>1160</v>
      </c>
      <c r="D246" s="295" t="s">
        <v>390</v>
      </c>
      <c r="E246" s="295">
        <v>3</v>
      </c>
      <c r="F246" s="250">
        <f ca="1">VLOOKUP($D246,Data!$C:$I,7,FALSE)</f>
        <v>0</v>
      </c>
      <c r="G246" s="296" t="str">
        <f t="shared" si="48"/>
        <v>PR.IP-73</v>
      </c>
      <c r="H246" s="296" t="str">
        <f t="shared" ca="1" si="49"/>
        <v>PR.IP-730</v>
      </c>
    </row>
    <row r="247" spans="1:8" ht="14" x14ac:dyDescent="0.3">
      <c r="A247" s="293">
        <v>281</v>
      </c>
      <c r="B247" s="293" t="s">
        <v>1161</v>
      </c>
      <c r="C247" s="293" t="s">
        <v>967</v>
      </c>
      <c r="D247" s="295" t="s">
        <v>192</v>
      </c>
      <c r="E247" s="295">
        <v>2</v>
      </c>
      <c r="F247" s="250">
        <f ca="1">VLOOKUP($D247,Data!$C:$I,7,FALSE)</f>
        <v>0</v>
      </c>
      <c r="G247" s="296" t="str">
        <f t="shared" si="48"/>
        <v>PR.IP-82</v>
      </c>
      <c r="H247" s="296" t="str">
        <f t="shared" ca="1" si="49"/>
        <v>PR.IP-820</v>
      </c>
    </row>
    <row r="248" spans="1:8" ht="14" x14ac:dyDescent="0.3">
      <c r="A248" s="293">
        <v>283</v>
      </c>
      <c r="B248" s="293" t="s">
        <v>1161</v>
      </c>
      <c r="C248" s="293" t="s">
        <v>968</v>
      </c>
      <c r="D248" s="295" t="s">
        <v>196</v>
      </c>
      <c r="E248" s="295">
        <v>3</v>
      </c>
      <c r="F248" s="250">
        <f ca="1">VLOOKUP($D248,Data!$C:$I,7,FALSE)</f>
        <v>0</v>
      </c>
      <c r="G248" s="296" t="str">
        <f t="shared" si="48"/>
        <v>PR.IP-83</v>
      </c>
      <c r="H248" s="296" t="str">
        <f t="shared" ca="1" si="49"/>
        <v>PR.IP-830</v>
      </c>
    </row>
    <row r="249" spans="1:8" ht="14" x14ac:dyDescent="0.3">
      <c r="A249" s="293">
        <v>284</v>
      </c>
      <c r="B249" s="293" t="s">
        <v>1161</v>
      </c>
      <c r="C249" s="293" t="s">
        <v>969</v>
      </c>
      <c r="D249" s="295" t="s">
        <v>196</v>
      </c>
      <c r="E249" s="295">
        <v>3</v>
      </c>
      <c r="F249" s="250">
        <f ca="1">VLOOKUP($D249,Data!$C:$I,7,FALSE)</f>
        <v>0</v>
      </c>
      <c r="G249" s="296" t="str">
        <f t="shared" si="48"/>
        <v>PR.IP-83</v>
      </c>
      <c r="H249" s="296" t="str">
        <f t="shared" ca="1" si="49"/>
        <v>PR.IP-830</v>
      </c>
    </row>
    <row r="250" spans="1:8" ht="14" x14ac:dyDescent="0.3">
      <c r="A250" s="293">
        <v>285</v>
      </c>
      <c r="B250" s="293" t="s">
        <v>1161</v>
      </c>
      <c r="C250" s="293" t="s">
        <v>970</v>
      </c>
      <c r="D250" s="295" t="s">
        <v>200</v>
      </c>
      <c r="E250" s="295">
        <v>1</v>
      </c>
      <c r="F250" s="250">
        <f ca="1">VLOOKUP($D250,Data!$C:$I,7,FALSE)</f>
        <v>0</v>
      </c>
      <c r="G250" s="296" t="str">
        <f t="shared" si="48"/>
        <v>PR.IP-81</v>
      </c>
      <c r="H250" s="296" t="str">
        <f t="shared" ca="1" si="49"/>
        <v>PR.IP-810</v>
      </c>
    </row>
    <row r="251" spans="1:8" ht="14" x14ac:dyDescent="0.3">
      <c r="A251" s="293">
        <v>294</v>
      </c>
      <c r="B251" s="293" t="s">
        <v>1162</v>
      </c>
      <c r="C251" s="293" t="s">
        <v>1033</v>
      </c>
      <c r="D251" s="295" t="s">
        <v>403</v>
      </c>
      <c r="E251" s="295">
        <v>1</v>
      </c>
      <c r="F251" s="250">
        <f ca="1">VLOOKUP($D251,Data!$C:$I,7,FALSE)</f>
        <v>0</v>
      </c>
      <c r="G251" s="296" t="str">
        <f t="shared" si="48"/>
        <v>PR.IP-91</v>
      </c>
      <c r="H251" s="296" t="str">
        <f t="shared" ca="1" si="49"/>
        <v>PR.IP-910</v>
      </c>
    </row>
    <row r="252" spans="1:8" ht="14" x14ac:dyDescent="0.3">
      <c r="A252" s="293">
        <v>296</v>
      </c>
      <c r="B252" s="293" t="s">
        <v>1162</v>
      </c>
      <c r="C252" s="293" t="s">
        <v>1163</v>
      </c>
      <c r="D252" s="295" t="s">
        <v>405</v>
      </c>
      <c r="E252" s="295">
        <v>2</v>
      </c>
      <c r="F252" s="250">
        <f ca="1">VLOOKUP($D252,Data!$C:$I,7,FALSE)</f>
        <v>0</v>
      </c>
      <c r="G252" s="296" t="str">
        <f t="shared" si="48"/>
        <v>PR.IP-92</v>
      </c>
      <c r="H252" s="296" t="str">
        <f t="shared" ca="1" si="49"/>
        <v>PR.IP-920</v>
      </c>
    </row>
    <row r="253" spans="1:8" ht="14" x14ac:dyDescent="0.3">
      <c r="A253" s="293">
        <v>297</v>
      </c>
      <c r="B253" s="293" t="s">
        <v>1162</v>
      </c>
      <c r="C253" s="293" t="s">
        <v>1093</v>
      </c>
      <c r="D253" s="295" t="s">
        <v>408</v>
      </c>
      <c r="E253" s="295">
        <v>2</v>
      </c>
      <c r="F253" s="250">
        <f ca="1">VLOOKUP($D253,Data!$C:$I,7,FALSE)</f>
        <v>0</v>
      </c>
      <c r="G253" s="296" t="str">
        <f t="shared" si="48"/>
        <v>PR.IP-92</v>
      </c>
      <c r="H253" s="296" t="str">
        <f t="shared" ca="1" si="49"/>
        <v>PR.IP-920</v>
      </c>
    </row>
    <row r="254" spans="1:8" ht="14" x14ac:dyDescent="0.3">
      <c r="A254" s="293">
        <v>297</v>
      </c>
      <c r="B254" s="293" t="s">
        <v>1162</v>
      </c>
      <c r="C254" s="293" t="s">
        <v>1093</v>
      </c>
      <c r="D254" s="294" t="s">
        <v>411</v>
      </c>
      <c r="E254" s="295">
        <v>3</v>
      </c>
      <c r="F254" s="250">
        <f ca="1">VLOOKUP($D254,Data!$C:$I,7,FALSE)</f>
        <v>0</v>
      </c>
      <c r="G254" s="296" t="str">
        <f t="shared" si="48"/>
        <v>PR.IP-93</v>
      </c>
      <c r="H254" s="296" t="str">
        <f t="shared" ca="1" si="49"/>
        <v>PR.IP-930</v>
      </c>
    </row>
    <row r="255" spans="1:8" ht="14" x14ac:dyDescent="0.3">
      <c r="A255" s="293">
        <v>298</v>
      </c>
      <c r="B255" s="293" t="s">
        <v>1162</v>
      </c>
      <c r="C255" s="293" t="s">
        <v>1164</v>
      </c>
      <c r="D255" s="295" t="s">
        <v>283</v>
      </c>
      <c r="E255" s="295">
        <v>2</v>
      </c>
      <c r="F255" s="250">
        <f ca="1">VLOOKUP($D255,Data!$C:$I,7,FALSE)</f>
        <v>0</v>
      </c>
      <c r="G255" s="296" t="str">
        <f t="shared" si="48"/>
        <v>PR.IP-92</v>
      </c>
      <c r="H255" s="296" t="str">
        <f t="shared" ca="1" si="49"/>
        <v>PR.IP-920</v>
      </c>
    </row>
    <row r="256" spans="1:8" ht="14" x14ac:dyDescent="0.3">
      <c r="A256" s="293">
        <v>301</v>
      </c>
      <c r="B256" s="293" t="s">
        <v>1162</v>
      </c>
      <c r="C256" s="293" t="s">
        <v>1061</v>
      </c>
      <c r="D256" s="295" t="s">
        <v>189</v>
      </c>
      <c r="E256" s="295">
        <v>2</v>
      </c>
      <c r="F256" s="250">
        <f ca="1">VLOOKUP($D256,Data!$C:$I,7,FALSE)</f>
        <v>0</v>
      </c>
      <c r="G256" s="296" t="str">
        <f t="shared" si="48"/>
        <v>PR.IP-92</v>
      </c>
      <c r="H256" s="296" t="str">
        <f t="shared" ca="1" si="49"/>
        <v>PR.IP-920</v>
      </c>
    </row>
    <row r="257" spans="1:8" ht="14" x14ac:dyDescent="0.3">
      <c r="A257" s="293">
        <v>304</v>
      </c>
      <c r="B257" s="293" t="s">
        <v>1162</v>
      </c>
      <c r="C257" s="293" t="s">
        <v>1165</v>
      </c>
      <c r="D257" s="295" t="s">
        <v>413</v>
      </c>
      <c r="E257" s="295">
        <v>3</v>
      </c>
      <c r="F257" s="250">
        <f ca="1">VLOOKUP($D257,Data!$C:$I,7,FALSE)</f>
        <v>0</v>
      </c>
      <c r="G257" s="296" t="str">
        <f t="shared" si="48"/>
        <v>PR.IP-93</v>
      </c>
      <c r="H257" s="296" t="str">
        <f t="shared" ca="1" si="49"/>
        <v>PR.IP-930</v>
      </c>
    </row>
    <row r="258" spans="1:8" ht="14" x14ac:dyDescent="0.3">
      <c r="A258" s="293">
        <v>305</v>
      </c>
      <c r="B258" s="293" t="s">
        <v>1162</v>
      </c>
      <c r="C258" s="293" t="s">
        <v>1166</v>
      </c>
      <c r="D258" s="295" t="s">
        <v>417</v>
      </c>
      <c r="E258" s="295">
        <v>3</v>
      </c>
      <c r="F258" s="250">
        <f ca="1">VLOOKUP($D258,Data!$C:$I,7,FALSE)</f>
        <v>0</v>
      </c>
      <c r="G258" s="296" t="str">
        <f t="shared" ref="G258:G321" si="50">CONCATENATE($B258,$E258)</f>
        <v>PR.IP-93</v>
      </c>
      <c r="H258" s="296" t="str">
        <f t="shared" ref="H258:H321" ca="1" si="51">_xlfn.IFNA(CONCATENATE($B258,$E258,$F258),CONCATENATE($B258,$E258,0))</f>
        <v>PR.IP-930</v>
      </c>
    </row>
    <row r="259" spans="1:8" ht="14" x14ac:dyDescent="0.3">
      <c r="A259" s="293">
        <v>306</v>
      </c>
      <c r="B259" s="293" t="s">
        <v>1162</v>
      </c>
      <c r="C259" s="293" t="s">
        <v>1167</v>
      </c>
      <c r="D259" s="295" t="s">
        <v>287</v>
      </c>
      <c r="E259" s="295">
        <v>3</v>
      </c>
      <c r="F259" s="250">
        <f ca="1">VLOOKUP($D259,Data!$C:$I,7,FALSE)</f>
        <v>0</v>
      </c>
      <c r="G259" s="296" t="str">
        <f t="shared" si="50"/>
        <v>PR.IP-93</v>
      </c>
      <c r="H259" s="296" t="str">
        <f t="shared" ca="1" si="51"/>
        <v>PR.IP-930</v>
      </c>
    </row>
    <row r="260" spans="1:8" ht="14" x14ac:dyDescent="0.3">
      <c r="A260" s="293">
        <v>309</v>
      </c>
      <c r="B260" s="293" t="s">
        <v>1162</v>
      </c>
      <c r="C260" s="293" t="s">
        <v>1168</v>
      </c>
      <c r="D260" s="295" t="s">
        <v>286</v>
      </c>
      <c r="E260" s="295">
        <v>2</v>
      </c>
      <c r="F260" s="250">
        <f ca="1">VLOOKUP($D260,Data!$C:$I,7,FALSE)</f>
        <v>0</v>
      </c>
      <c r="G260" s="296" t="str">
        <f t="shared" si="50"/>
        <v>PR.IP-92</v>
      </c>
      <c r="H260" s="296" t="str">
        <f t="shared" ca="1" si="51"/>
        <v>PR.IP-920</v>
      </c>
    </row>
    <row r="261" spans="1:8" ht="14" x14ac:dyDescent="0.3">
      <c r="A261" s="293">
        <v>310</v>
      </c>
      <c r="B261" s="293" t="s">
        <v>1162</v>
      </c>
      <c r="C261" s="293" t="s">
        <v>1169</v>
      </c>
      <c r="D261" s="295" t="s">
        <v>285</v>
      </c>
      <c r="E261" s="295">
        <v>2</v>
      </c>
      <c r="F261" s="250">
        <f ca="1">VLOOKUP($D261,Data!$C:$I,7,FALSE)</f>
        <v>0</v>
      </c>
      <c r="G261" s="296" t="str">
        <f t="shared" si="50"/>
        <v>PR.IP-92</v>
      </c>
      <c r="H261" s="296" t="str">
        <f t="shared" ca="1" si="51"/>
        <v>PR.IP-920</v>
      </c>
    </row>
    <row r="262" spans="1:8" ht="14" x14ac:dyDescent="0.3">
      <c r="A262" s="293">
        <v>311</v>
      </c>
      <c r="B262" s="293" t="s">
        <v>1162</v>
      </c>
      <c r="C262" s="293" t="s">
        <v>1017</v>
      </c>
      <c r="D262" s="295" t="s">
        <v>65</v>
      </c>
      <c r="E262" s="295">
        <v>2</v>
      </c>
      <c r="F262" s="250">
        <f ca="1">VLOOKUP($D262,Data!$C:$I,7,FALSE)</f>
        <v>0</v>
      </c>
      <c r="G262" s="296" t="str">
        <f t="shared" si="50"/>
        <v>PR.IP-92</v>
      </c>
      <c r="H262" s="296" t="str">
        <f t="shared" ca="1" si="51"/>
        <v>PR.IP-920</v>
      </c>
    </row>
    <row r="263" spans="1:8" ht="14" x14ac:dyDescent="0.3">
      <c r="A263" s="293">
        <v>312</v>
      </c>
      <c r="B263" s="293" t="s">
        <v>1170</v>
      </c>
      <c r="C263" s="293" t="s">
        <v>1092</v>
      </c>
      <c r="D263" s="295" t="s">
        <v>276</v>
      </c>
      <c r="E263" s="295">
        <v>2</v>
      </c>
      <c r="F263" s="250">
        <f ca="1">VLOOKUP($D263,Data!$C:$I,7,FALSE)</f>
        <v>0</v>
      </c>
      <c r="G263" s="296" t="str">
        <f t="shared" si="50"/>
        <v>PR.IP-102</v>
      </c>
      <c r="H263" s="296" t="str">
        <f t="shared" ca="1" si="51"/>
        <v>PR.IP-1020</v>
      </c>
    </row>
    <row r="264" spans="1:8" ht="14" x14ac:dyDescent="0.3">
      <c r="A264" s="293">
        <v>313</v>
      </c>
      <c r="B264" s="293" t="s">
        <v>1170</v>
      </c>
      <c r="C264" s="293" t="s">
        <v>1093</v>
      </c>
      <c r="D264" s="295" t="s">
        <v>408</v>
      </c>
      <c r="E264" s="295">
        <v>2</v>
      </c>
      <c r="F264" s="250">
        <f ca="1">VLOOKUP($D264,Data!$C:$I,7,FALSE)</f>
        <v>0</v>
      </c>
      <c r="G264" s="296" t="str">
        <f t="shared" si="50"/>
        <v>PR.IP-102</v>
      </c>
      <c r="H264" s="296" t="str">
        <f t="shared" ca="1" si="51"/>
        <v>PR.IP-1020</v>
      </c>
    </row>
    <row r="265" spans="1:8" ht="14" x14ac:dyDescent="0.3">
      <c r="A265" s="293">
        <v>313</v>
      </c>
      <c r="B265" s="293" t="s">
        <v>1170</v>
      </c>
      <c r="C265" s="293" t="s">
        <v>1093</v>
      </c>
      <c r="D265" s="294" t="s">
        <v>411</v>
      </c>
      <c r="E265" s="295">
        <v>3</v>
      </c>
      <c r="F265" s="250">
        <f ca="1">VLOOKUP($D265,Data!$C:$I,7,FALSE)</f>
        <v>0</v>
      </c>
      <c r="G265" s="296" t="str">
        <f t="shared" si="50"/>
        <v>PR.IP-103</v>
      </c>
      <c r="H265" s="296" t="str">
        <f t="shared" ca="1" si="51"/>
        <v>PR.IP-1030</v>
      </c>
    </row>
    <row r="266" spans="1:8" ht="14" x14ac:dyDescent="0.3">
      <c r="A266" s="293">
        <v>315</v>
      </c>
      <c r="B266" s="293" t="s">
        <v>1170</v>
      </c>
      <c r="C266" s="293" t="s">
        <v>1165</v>
      </c>
      <c r="D266" s="295" t="s">
        <v>413</v>
      </c>
      <c r="E266" s="295">
        <v>3</v>
      </c>
      <c r="F266" s="250">
        <f ca="1">VLOOKUP($D266,Data!$C:$I,7,FALSE)</f>
        <v>0</v>
      </c>
      <c r="G266" s="296" t="str">
        <f t="shared" si="50"/>
        <v>PR.IP-103</v>
      </c>
      <c r="H266" s="296" t="str">
        <f t="shared" ca="1" si="51"/>
        <v>PR.IP-1030</v>
      </c>
    </row>
    <row r="267" spans="1:8" ht="14" x14ac:dyDescent="0.3">
      <c r="A267" s="293">
        <v>316</v>
      </c>
      <c r="B267" s="293" t="s">
        <v>1170</v>
      </c>
      <c r="C267" s="293" t="s">
        <v>1166</v>
      </c>
      <c r="D267" s="295" t="s">
        <v>417</v>
      </c>
      <c r="E267" s="295">
        <v>3</v>
      </c>
      <c r="F267" s="250">
        <f ca="1">VLOOKUP($D267,Data!$C:$I,7,FALSE)</f>
        <v>0</v>
      </c>
      <c r="G267" s="296" t="str">
        <f t="shared" si="50"/>
        <v>PR.IP-103</v>
      </c>
      <c r="H267" s="296" t="str">
        <f t="shared" ca="1" si="51"/>
        <v>PR.IP-1030</v>
      </c>
    </row>
    <row r="268" spans="1:8" ht="14" x14ac:dyDescent="0.3">
      <c r="A268" s="293">
        <v>317</v>
      </c>
      <c r="B268" s="293" t="s">
        <v>996</v>
      </c>
      <c r="C268" s="293" t="s">
        <v>1171</v>
      </c>
      <c r="D268" s="295" t="s">
        <v>331</v>
      </c>
      <c r="E268" s="295">
        <v>1</v>
      </c>
      <c r="F268" s="250">
        <f ca="1">VLOOKUP($D268,Data!$C:$I,7,FALSE)</f>
        <v>0</v>
      </c>
      <c r="G268" s="296" t="str">
        <f t="shared" si="50"/>
        <v>PR.IP-111</v>
      </c>
      <c r="H268" s="296" t="str">
        <f t="shared" ca="1" si="51"/>
        <v>PR.IP-1110</v>
      </c>
    </row>
    <row r="269" spans="1:8" ht="14" x14ac:dyDescent="0.3">
      <c r="A269" s="293">
        <v>318</v>
      </c>
      <c r="B269" s="293" t="s">
        <v>996</v>
      </c>
      <c r="C269" s="293" t="s">
        <v>1172</v>
      </c>
      <c r="D269" s="295" t="s">
        <v>332</v>
      </c>
      <c r="E269" s="295">
        <v>1</v>
      </c>
      <c r="F269" s="250">
        <f ca="1">VLOOKUP($D269,Data!$C:$I,7,FALSE)</f>
        <v>0</v>
      </c>
      <c r="G269" s="296" t="str">
        <f t="shared" si="50"/>
        <v>PR.IP-111</v>
      </c>
      <c r="H269" s="296" t="str">
        <f t="shared" ca="1" si="51"/>
        <v>PR.IP-1110</v>
      </c>
    </row>
    <row r="270" spans="1:8" ht="14" x14ac:dyDescent="0.3">
      <c r="A270" s="293">
        <v>319</v>
      </c>
      <c r="B270" s="293" t="s">
        <v>996</v>
      </c>
      <c r="C270" s="293" t="s">
        <v>1173</v>
      </c>
      <c r="D270" s="295" t="s">
        <v>333</v>
      </c>
      <c r="E270" s="295">
        <v>2</v>
      </c>
      <c r="F270" s="250">
        <f ca="1">VLOOKUP($D270,Data!$C:$I,7,FALSE)</f>
        <v>0</v>
      </c>
      <c r="G270" s="296" t="str">
        <f t="shared" si="50"/>
        <v>PR.IP-112</v>
      </c>
      <c r="H270" s="296" t="str">
        <f t="shared" ca="1" si="51"/>
        <v>PR.IP-1120</v>
      </c>
    </row>
    <row r="271" spans="1:8" ht="14" x14ac:dyDescent="0.3">
      <c r="A271" s="293">
        <v>320</v>
      </c>
      <c r="B271" s="293" t="s">
        <v>996</v>
      </c>
      <c r="C271" s="293" t="s">
        <v>1039</v>
      </c>
      <c r="D271" s="295" t="s">
        <v>334</v>
      </c>
      <c r="E271" s="295">
        <v>2</v>
      </c>
      <c r="F271" s="250">
        <f ca="1">VLOOKUP($D271,Data!$C:$I,7,FALSE)</f>
        <v>0</v>
      </c>
      <c r="G271" s="296" t="str">
        <f t="shared" si="50"/>
        <v>PR.IP-112</v>
      </c>
      <c r="H271" s="296" t="str">
        <f t="shared" ca="1" si="51"/>
        <v>PR.IP-1120</v>
      </c>
    </row>
    <row r="272" spans="1:8" ht="14" x14ac:dyDescent="0.3">
      <c r="A272" s="293">
        <v>322</v>
      </c>
      <c r="B272" s="293" t="s">
        <v>996</v>
      </c>
      <c r="C272" s="293" t="s">
        <v>1174</v>
      </c>
      <c r="D272" s="295" t="s">
        <v>335</v>
      </c>
      <c r="E272" s="295">
        <v>3</v>
      </c>
      <c r="F272" s="250">
        <f ca="1">VLOOKUP($D272,Data!$C:$I,7,FALSE)</f>
        <v>0</v>
      </c>
      <c r="G272" s="296" t="str">
        <f t="shared" si="50"/>
        <v>PR.IP-113</v>
      </c>
      <c r="H272" s="296" t="str">
        <f t="shared" ca="1" si="51"/>
        <v>PR.IP-1130</v>
      </c>
    </row>
    <row r="273" spans="1:8" ht="14" x14ac:dyDescent="0.3">
      <c r="A273" s="293">
        <v>324</v>
      </c>
      <c r="B273" s="293" t="s">
        <v>996</v>
      </c>
      <c r="C273" s="293" t="s">
        <v>1175</v>
      </c>
      <c r="D273" s="295" t="s">
        <v>336</v>
      </c>
      <c r="E273" s="295">
        <v>3</v>
      </c>
      <c r="F273" s="250">
        <f ca="1">VLOOKUP($D273,Data!$C:$I,7,FALSE)</f>
        <v>0</v>
      </c>
      <c r="G273" s="296" t="str">
        <f t="shared" si="50"/>
        <v>PR.IP-113</v>
      </c>
      <c r="H273" s="296" t="str">
        <f t="shared" ca="1" si="51"/>
        <v>PR.IP-1130</v>
      </c>
    </row>
    <row r="274" spans="1:8" ht="14" x14ac:dyDescent="0.3">
      <c r="A274" s="293">
        <v>325</v>
      </c>
      <c r="B274" s="293" t="s">
        <v>1176</v>
      </c>
      <c r="C274" s="293" t="s">
        <v>1177</v>
      </c>
      <c r="D274" s="295" t="s">
        <v>218</v>
      </c>
      <c r="E274" s="295">
        <v>2</v>
      </c>
      <c r="F274" s="250">
        <f ca="1">VLOOKUP($D274,Data!$C:$I,7,FALSE)</f>
        <v>0</v>
      </c>
      <c r="G274" s="296" t="str">
        <f t="shared" si="50"/>
        <v>PR.IP-122</v>
      </c>
      <c r="H274" s="296" t="str">
        <f t="shared" ca="1" si="51"/>
        <v>PR.IP-1220</v>
      </c>
    </row>
    <row r="275" spans="1:8" ht="14" x14ac:dyDescent="0.3">
      <c r="A275" s="293">
        <v>326</v>
      </c>
      <c r="B275" s="293" t="s">
        <v>1176</v>
      </c>
      <c r="C275" s="293" t="s">
        <v>1178</v>
      </c>
      <c r="D275" s="295" t="s">
        <v>222</v>
      </c>
      <c r="E275" s="295">
        <v>3</v>
      </c>
      <c r="F275" s="250">
        <f ca="1">VLOOKUP($D275,Data!$C:$I,7,FALSE)</f>
        <v>0</v>
      </c>
      <c r="G275" s="296" t="str">
        <f t="shared" si="50"/>
        <v>PR.IP-123</v>
      </c>
      <c r="H275" s="296" t="str">
        <f t="shared" ca="1" si="51"/>
        <v>PR.IP-1230</v>
      </c>
    </row>
    <row r="276" spans="1:8" ht="14" x14ac:dyDescent="0.3">
      <c r="A276" s="293">
        <v>327</v>
      </c>
      <c r="B276" s="293" t="s">
        <v>1179</v>
      </c>
      <c r="C276" s="293" t="s">
        <v>1132</v>
      </c>
      <c r="D276" s="295" t="s">
        <v>128</v>
      </c>
      <c r="E276" s="295">
        <v>1</v>
      </c>
      <c r="F276" s="250">
        <f ca="1">VLOOKUP($D276,Data!$C:$I,7,FALSE)</f>
        <v>0</v>
      </c>
      <c r="G276" s="296" t="str">
        <f t="shared" si="50"/>
        <v>PR.MA-11</v>
      </c>
      <c r="H276" s="296" t="str">
        <f t="shared" ca="1" si="51"/>
        <v>PR.MA-110</v>
      </c>
    </row>
    <row r="277" spans="1:8" ht="14" x14ac:dyDescent="0.3">
      <c r="A277" s="293">
        <v>328</v>
      </c>
      <c r="B277" s="293" t="s">
        <v>1179</v>
      </c>
      <c r="C277" s="293" t="s">
        <v>1136</v>
      </c>
      <c r="D277" s="295" t="s">
        <v>145</v>
      </c>
      <c r="E277" s="295">
        <v>2</v>
      </c>
      <c r="F277" s="250">
        <f ca="1">VLOOKUP($D277,Data!$C:$I,7,FALSE)</f>
        <v>0</v>
      </c>
      <c r="G277" s="296" t="str">
        <f t="shared" si="50"/>
        <v>PR.MA-12</v>
      </c>
      <c r="H277" s="296" t="str">
        <f t="shared" ca="1" si="51"/>
        <v>PR.MA-120</v>
      </c>
    </row>
    <row r="278" spans="1:8" ht="14" x14ac:dyDescent="0.3">
      <c r="A278" s="293">
        <v>329</v>
      </c>
      <c r="B278" s="293" t="s">
        <v>1179</v>
      </c>
      <c r="C278" s="293" t="s">
        <v>1137</v>
      </c>
      <c r="D278" s="295" t="s">
        <v>139</v>
      </c>
      <c r="E278" s="295">
        <v>3</v>
      </c>
      <c r="F278" s="250">
        <f ca="1">VLOOKUP($D278,Data!$C:$I,7,FALSE)</f>
        <v>0</v>
      </c>
      <c r="G278" s="296" t="str">
        <f t="shared" si="50"/>
        <v>PR.MA-13</v>
      </c>
      <c r="H278" s="296" t="str">
        <f t="shared" ca="1" si="51"/>
        <v>PR.MA-130</v>
      </c>
    </row>
    <row r="279" spans="1:8" ht="14" x14ac:dyDescent="0.3">
      <c r="A279" s="293">
        <v>330</v>
      </c>
      <c r="B279" s="293" t="s">
        <v>997</v>
      </c>
      <c r="C279" s="293" t="s">
        <v>1180</v>
      </c>
      <c r="D279" s="295" t="s">
        <v>225</v>
      </c>
      <c r="E279" s="295">
        <v>1</v>
      </c>
      <c r="F279" s="250">
        <f ca="1">VLOOKUP($D279,Data!$C:$I,7,FALSE)</f>
        <v>0</v>
      </c>
      <c r="G279" s="296" t="str">
        <f t="shared" si="50"/>
        <v>PR.MA-21</v>
      </c>
      <c r="H279" s="296" t="str">
        <f t="shared" ca="1" si="51"/>
        <v>PR.MA-210</v>
      </c>
    </row>
    <row r="280" spans="1:8" ht="14" x14ac:dyDescent="0.3">
      <c r="A280" s="293">
        <v>332</v>
      </c>
      <c r="B280" s="293" t="s">
        <v>997</v>
      </c>
      <c r="C280" s="293" t="s">
        <v>1104</v>
      </c>
      <c r="D280" s="295" t="s">
        <v>169</v>
      </c>
      <c r="E280" s="295">
        <v>1</v>
      </c>
      <c r="F280" s="250">
        <f ca="1">VLOOKUP($D280,Data!$C:$I,7,FALSE)</f>
        <v>0</v>
      </c>
      <c r="G280" s="296" t="str">
        <f t="shared" si="50"/>
        <v>PR.MA-21</v>
      </c>
      <c r="H280" s="296" t="str">
        <f t="shared" ca="1" si="51"/>
        <v>PR.MA-210</v>
      </c>
    </row>
    <row r="281" spans="1:8" ht="14" x14ac:dyDescent="0.3">
      <c r="A281" s="293">
        <v>333</v>
      </c>
      <c r="B281" s="293" t="s">
        <v>997</v>
      </c>
      <c r="C281" s="293" t="s">
        <v>1106</v>
      </c>
      <c r="D281" s="295" t="s">
        <v>171</v>
      </c>
      <c r="E281" s="295">
        <v>1</v>
      </c>
      <c r="F281" s="250">
        <f ca="1">VLOOKUP($D281,Data!$C:$I,7,FALSE)</f>
        <v>0</v>
      </c>
      <c r="G281" s="296" t="str">
        <f t="shared" si="50"/>
        <v>PR.MA-21</v>
      </c>
      <c r="H281" s="296" t="str">
        <f t="shared" ca="1" si="51"/>
        <v>PR.MA-210</v>
      </c>
    </row>
    <row r="282" spans="1:8" ht="14" x14ac:dyDescent="0.3">
      <c r="A282" s="293">
        <v>334</v>
      </c>
      <c r="B282" s="293" t="s">
        <v>997</v>
      </c>
      <c r="C282" s="293" t="s">
        <v>1107</v>
      </c>
      <c r="D282" s="295" t="s">
        <v>172</v>
      </c>
      <c r="E282" s="295">
        <v>2</v>
      </c>
      <c r="F282" s="250">
        <f ca="1">VLOOKUP($D282,Data!$C:$I,7,FALSE)</f>
        <v>0</v>
      </c>
      <c r="G282" s="296" t="str">
        <f t="shared" si="50"/>
        <v>PR.MA-22</v>
      </c>
      <c r="H282" s="296" t="str">
        <f t="shared" ca="1" si="51"/>
        <v>PR.MA-220</v>
      </c>
    </row>
    <row r="283" spans="1:8" ht="14" x14ac:dyDescent="0.3">
      <c r="A283" s="293">
        <v>335</v>
      </c>
      <c r="B283" s="293" t="s">
        <v>997</v>
      </c>
      <c r="C283" s="293" t="s">
        <v>1108</v>
      </c>
      <c r="D283" s="295" t="s">
        <v>173</v>
      </c>
      <c r="E283" s="295">
        <v>2</v>
      </c>
      <c r="F283" s="250">
        <f ca="1">VLOOKUP($D283,Data!$C:$I,7,FALSE)</f>
        <v>0</v>
      </c>
      <c r="G283" s="296" t="str">
        <f t="shared" si="50"/>
        <v>PR.MA-22</v>
      </c>
      <c r="H283" s="296" t="str">
        <f t="shared" ca="1" si="51"/>
        <v>PR.MA-220</v>
      </c>
    </row>
    <row r="284" spans="1:8" ht="14" x14ac:dyDescent="0.3">
      <c r="A284" s="293">
        <v>336</v>
      </c>
      <c r="B284" s="293" t="s">
        <v>997</v>
      </c>
      <c r="C284" s="293" t="s">
        <v>1109</v>
      </c>
      <c r="D284" s="295" t="s">
        <v>174</v>
      </c>
      <c r="E284" s="295">
        <v>2</v>
      </c>
      <c r="F284" s="250">
        <f ca="1">VLOOKUP($D284,Data!$C:$I,7,FALSE)</f>
        <v>0</v>
      </c>
      <c r="G284" s="296" t="str">
        <f t="shared" si="50"/>
        <v>PR.MA-22</v>
      </c>
      <c r="H284" s="296" t="str">
        <f t="shared" ca="1" si="51"/>
        <v>PR.MA-220</v>
      </c>
    </row>
    <row r="285" spans="1:8" ht="14" x14ac:dyDescent="0.3">
      <c r="A285" s="293">
        <v>337</v>
      </c>
      <c r="B285" s="293" t="s">
        <v>997</v>
      </c>
      <c r="C285" s="293" t="s">
        <v>1110</v>
      </c>
      <c r="D285" s="295" t="s">
        <v>175</v>
      </c>
      <c r="E285" s="295">
        <v>3</v>
      </c>
      <c r="F285" s="250">
        <f ca="1">VLOOKUP($D285,Data!$C:$I,7,FALSE)</f>
        <v>0</v>
      </c>
      <c r="G285" s="296" t="str">
        <f t="shared" si="50"/>
        <v>PR.MA-23</v>
      </c>
      <c r="H285" s="296" t="str">
        <f t="shared" ca="1" si="51"/>
        <v>PR.MA-230</v>
      </c>
    </row>
    <row r="286" spans="1:8" ht="14" x14ac:dyDescent="0.3">
      <c r="A286" s="293">
        <v>339</v>
      </c>
      <c r="B286" s="293" t="s">
        <v>1181</v>
      </c>
      <c r="C286" s="293" t="s">
        <v>1180</v>
      </c>
      <c r="D286" s="295" t="s">
        <v>225</v>
      </c>
      <c r="E286" s="295">
        <v>1</v>
      </c>
      <c r="F286" s="250">
        <f ca="1">VLOOKUP($D286,Data!$C:$I,7,FALSE)</f>
        <v>0</v>
      </c>
      <c r="G286" s="296" t="str">
        <f t="shared" si="50"/>
        <v>PR.PT-11</v>
      </c>
      <c r="H286" s="296" t="str">
        <f t="shared" ca="1" si="51"/>
        <v>PR.PT-110</v>
      </c>
    </row>
    <row r="287" spans="1:8" ht="14" x14ac:dyDescent="0.3">
      <c r="A287" s="293">
        <v>340</v>
      </c>
      <c r="B287" s="293" t="s">
        <v>1181</v>
      </c>
      <c r="C287" s="293" t="s">
        <v>1182</v>
      </c>
      <c r="D287" s="295" t="s">
        <v>229</v>
      </c>
      <c r="E287" s="295">
        <v>1</v>
      </c>
      <c r="F287" s="250">
        <f ca="1">VLOOKUP($D287,Data!$C:$I,7,FALSE)</f>
        <v>0</v>
      </c>
      <c r="G287" s="296" t="str">
        <f t="shared" si="50"/>
        <v>PR.PT-11</v>
      </c>
      <c r="H287" s="296" t="str">
        <f t="shared" ca="1" si="51"/>
        <v>PR.PT-110</v>
      </c>
    </row>
    <row r="288" spans="1:8" ht="14" x14ac:dyDescent="0.3">
      <c r="A288" s="293">
        <v>341</v>
      </c>
      <c r="B288" s="293" t="s">
        <v>1181</v>
      </c>
      <c r="C288" s="293" t="s">
        <v>1150</v>
      </c>
      <c r="D288" s="295" t="s">
        <v>226</v>
      </c>
      <c r="E288" s="295">
        <v>2</v>
      </c>
      <c r="F288" s="250">
        <f ca="1">VLOOKUP($D288,Data!$C:$I,7,FALSE)</f>
        <v>0</v>
      </c>
      <c r="G288" s="296" t="str">
        <f t="shared" si="50"/>
        <v>PR.PT-12</v>
      </c>
      <c r="H288" s="296" t="str">
        <f t="shared" ca="1" si="51"/>
        <v>PR.PT-120</v>
      </c>
    </row>
    <row r="289" spans="1:8" ht="14" x14ac:dyDescent="0.3">
      <c r="A289" s="293">
        <v>342</v>
      </c>
      <c r="B289" s="293" t="s">
        <v>1181</v>
      </c>
      <c r="C289" s="293" t="s">
        <v>1183</v>
      </c>
      <c r="D289" s="295" t="s">
        <v>227</v>
      </c>
      <c r="E289" s="295">
        <v>2</v>
      </c>
      <c r="F289" s="250">
        <f ca="1">VLOOKUP($D289,Data!$C:$I,7,FALSE)</f>
        <v>0</v>
      </c>
      <c r="G289" s="296" t="str">
        <f t="shared" si="50"/>
        <v>PR.PT-12</v>
      </c>
      <c r="H289" s="296" t="str">
        <f t="shared" ca="1" si="51"/>
        <v>PR.PT-120</v>
      </c>
    </row>
    <row r="290" spans="1:8" ht="14" x14ac:dyDescent="0.3">
      <c r="A290" s="293">
        <v>343</v>
      </c>
      <c r="B290" s="293" t="s">
        <v>1181</v>
      </c>
      <c r="C290" s="293" t="s">
        <v>1143</v>
      </c>
      <c r="D290" s="295" t="s">
        <v>232</v>
      </c>
      <c r="E290" s="295">
        <v>2</v>
      </c>
      <c r="F290" s="250">
        <f ca="1">VLOOKUP($D290,Data!$C:$I,7,FALSE)</f>
        <v>0</v>
      </c>
      <c r="G290" s="296" t="str">
        <f t="shared" si="50"/>
        <v>PR.PT-12</v>
      </c>
      <c r="H290" s="296" t="str">
        <f t="shared" ca="1" si="51"/>
        <v>PR.PT-120</v>
      </c>
    </row>
    <row r="291" spans="1:8" ht="14" x14ac:dyDescent="0.3">
      <c r="A291" s="293">
        <v>344</v>
      </c>
      <c r="B291" s="293" t="s">
        <v>1181</v>
      </c>
      <c r="C291" s="293" t="s">
        <v>1184</v>
      </c>
      <c r="D291" s="295" t="s">
        <v>248</v>
      </c>
      <c r="E291" s="295">
        <v>2</v>
      </c>
      <c r="F291" s="250">
        <f ca="1">VLOOKUP($D291,Data!$C:$I,7,FALSE)</f>
        <v>0</v>
      </c>
      <c r="G291" s="296" t="str">
        <f t="shared" si="50"/>
        <v>PR.PT-12</v>
      </c>
      <c r="H291" s="296" t="str">
        <f t="shared" ca="1" si="51"/>
        <v>PR.PT-120</v>
      </c>
    </row>
    <row r="292" spans="1:8" ht="14" x14ac:dyDescent="0.3">
      <c r="A292" s="293">
        <v>345</v>
      </c>
      <c r="B292" s="293" t="s">
        <v>1181</v>
      </c>
      <c r="C292" s="293" t="s">
        <v>1185</v>
      </c>
      <c r="D292" s="295" t="s">
        <v>228</v>
      </c>
      <c r="E292" s="295">
        <v>3</v>
      </c>
      <c r="F292" s="250">
        <f ca="1">VLOOKUP($D292,Data!$C:$I,7,FALSE)</f>
        <v>0</v>
      </c>
      <c r="G292" s="296" t="str">
        <f t="shared" si="50"/>
        <v>PR.PT-13</v>
      </c>
      <c r="H292" s="296" t="str">
        <f t="shared" ca="1" si="51"/>
        <v>PR.PT-130</v>
      </c>
    </row>
    <row r="293" spans="1:8" ht="14" x14ac:dyDescent="0.3">
      <c r="A293" s="293">
        <v>347</v>
      </c>
      <c r="B293" s="293" t="s">
        <v>1181</v>
      </c>
      <c r="C293" s="293" t="s">
        <v>1186</v>
      </c>
      <c r="D293" s="295" t="s">
        <v>252</v>
      </c>
      <c r="E293" s="295">
        <v>3</v>
      </c>
      <c r="F293" s="250">
        <f ca="1">VLOOKUP($D293,Data!$C:$I,7,FALSE)</f>
        <v>0</v>
      </c>
      <c r="G293" s="296" t="str">
        <f t="shared" si="50"/>
        <v>PR.PT-13</v>
      </c>
      <c r="H293" s="296" t="str">
        <f t="shared" ca="1" si="51"/>
        <v>PR.PT-130</v>
      </c>
    </row>
    <row r="294" spans="1:8" ht="14" x14ac:dyDescent="0.3">
      <c r="A294" s="293">
        <v>350</v>
      </c>
      <c r="B294" s="293" t="s">
        <v>998</v>
      </c>
      <c r="C294" s="293" t="s">
        <v>1104</v>
      </c>
      <c r="D294" s="295" t="s">
        <v>169</v>
      </c>
      <c r="E294" s="295">
        <v>1</v>
      </c>
      <c r="F294" s="250">
        <f ca="1">VLOOKUP($D294,Data!$C:$I,7,FALSE)</f>
        <v>0</v>
      </c>
      <c r="G294" s="296" t="str">
        <f t="shared" si="50"/>
        <v>PR.PT-21</v>
      </c>
      <c r="H294" s="296" t="str">
        <f t="shared" ca="1" si="51"/>
        <v>PR.PT-210</v>
      </c>
    </row>
    <row r="295" spans="1:8" ht="14" x14ac:dyDescent="0.3">
      <c r="A295" s="293">
        <v>351</v>
      </c>
      <c r="B295" s="293" t="s">
        <v>998</v>
      </c>
      <c r="C295" s="293" t="s">
        <v>1105</v>
      </c>
      <c r="D295" s="295" t="s">
        <v>170</v>
      </c>
      <c r="E295" s="295">
        <v>1</v>
      </c>
      <c r="F295" s="250">
        <f ca="1">VLOOKUP($D295,Data!$C:$I,7,FALSE)</f>
        <v>0</v>
      </c>
      <c r="G295" s="296" t="str">
        <f t="shared" si="50"/>
        <v>PR.PT-21</v>
      </c>
      <c r="H295" s="296" t="str">
        <f t="shared" ca="1" si="51"/>
        <v>PR.PT-210</v>
      </c>
    </row>
    <row r="296" spans="1:8" ht="14" x14ac:dyDescent="0.3">
      <c r="A296" s="293">
        <v>352</v>
      </c>
      <c r="B296" s="293" t="s">
        <v>998</v>
      </c>
      <c r="C296" s="293" t="s">
        <v>1106</v>
      </c>
      <c r="D296" s="295" t="s">
        <v>171</v>
      </c>
      <c r="E296" s="295">
        <v>1</v>
      </c>
      <c r="F296" s="250">
        <f ca="1">VLOOKUP($D296,Data!$C:$I,7,FALSE)</f>
        <v>0</v>
      </c>
      <c r="G296" s="296" t="str">
        <f t="shared" si="50"/>
        <v>PR.PT-21</v>
      </c>
      <c r="H296" s="296" t="str">
        <f t="shared" ca="1" si="51"/>
        <v>PR.PT-210</v>
      </c>
    </row>
    <row r="297" spans="1:8" ht="14" x14ac:dyDescent="0.3">
      <c r="A297" s="293">
        <v>353</v>
      </c>
      <c r="B297" s="293" t="s">
        <v>998</v>
      </c>
      <c r="C297" s="293" t="s">
        <v>1187</v>
      </c>
      <c r="D297" s="295" t="s">
        <v>183</v>
      </c>
      <c r="E297" s="295">
        <v>3</v>
      </c>
      <c r="F297" s="250">
        <f ca="1">VLOOKUP($D297,Data!$C:$I,7,FALSE)</f>
        <v>0</v>
      </c>
      <c r="G297" s="296" t="str">
        <f t="shared" si="50"/>
        <v>PR.PT-23</v>
      </c>
      <c r="H297" s="296" t="str">
        <f t="shared" ca="1" si="51"/>
        <v>PR.PT-230</v>
      </c>
    </row>
    <row r="298" spans="1:8" ht="14" x14ac:dyDescent="0.3">
      <c r="A298" s="293">
        <v>355</v>
      </c>
      <c r="B298" s="293" t="s">
        <v>999</v>
      </c>
      <c r="C298" s="293" t="s">
        <v>1104</v>
      </c>
      <c r="D298" s="295" t="s">
        <v>169</v>
      </c>
      <c r="E298" s="295">
        <v>1</v>
      </c>
      <c r="F298" s="250">
        <f ca="1">VLOOKUP($D298,Data!$C:$I,7,FALSE)</f>
        <v>0</v>
      </c>
      <c r="G298" s="296" t="str">
        <f t="shared" si="50"/>
        <v>PR.PT-31</v>
      </c>
      <c r="H298" s="296" t="str">
        <f t="shared" ca="1" si="51"/>
        <v>PR.PT-310</v>
      </c>
    </row>
    <row r="299" spans="1:8" ht="14" x14ac:dyDescent="0.3">
      <c r="A299" s="293">
        <v>356</v>
      </c>
      <c r="B299" s="293" t="s">
        <v>999</v>
      </c>
      <c r="C299" s="293" t="s">
        <v>1105</v>
      </c>
      <c r="D299" s="295" t="s">
        <v>170</v>
      </c>
      <c r="E299" s="295">
        <v>1</v>
      </c>
      <c r="F299" s="250">
        <f ca="1">VLOOKUP($D299,Data!$C:$I,7,FALSE)</f>
        <v>0</v>
      </c>
      <c r="G299" s="296" t="str">
        <f t="shared" si="50"/>
        <v>PR.PT-31</v>
      </c>
      <c r="H299" s="296" t="str">
        <f t="shared" ca="1" si="51"/>
        <v>PR.PT-310</v>
      </c>
    </row>
    <row r="300" spans="1:8" ht="14" x14ac:dyDescent="0.3">
      <c r="A300" s="293">
        <v>357</v>
      </c>
      <c r="B300" s="293" t="s">
        <v>999</v>
      </c>
      <c r="C300" s="293" t="s">
        <v>1106</v>
      </c>
      <c r="D300" s="295" t="s">
        <v>171</v>
      </c>
      <c r="E300" s="295">
        <v>1</v>
      </c>
      <c r="F300" s="250">
        <f ca="1">VLOOKUP($D300,Data!$C:$I,7,FALSE)</f>
        <v>0</v>
      </c>
      <c r="G300" s="296" t="str">
        <f t="shared" si="50"/>
        <v>PR.PT-31</v>
      </c>
      <c r="H300" s="296" t="str">
        <f t="shared" ca="1" si="51"/>
        <v>PR.PT-310</v>
      </c>
    </row>
    <row r="301" spans="1:8" ht="14" x14ac:dyDescent="0.3">
      <c r="A301" s="293">
        <v>358</v>
      </c>
      <c r="B301" s="293" t="s">
        <v>999</v>
      </c>
      <c r="C301" s="293" t="s">
        <v>1107</v>
      </c>
      <c r="D301" s="295" t="s">
        <v>172</v>
      </c>
      <c r="E301" s="295">
        <v>2</v>
      </c>
      <c r="F301" s="250">
        <f ca="1">VLOOKUP($D301,Data!$C:$I,7,FALSE)</f>
        <v>0</v>
      </c>
      <c r="G301" s="296" t="str">
        <f t="shared" si="50"/>
        <v>PR.PT-32</v>
      </c>
      <c r="H301" s="296" t="str">
        <f t="shared" ca="1" si="51"/>
        <v>PR.PT-320</v>
      </c>
    </row>
    <row r="302" spans="1:8" ht="14" x14ac:dyDescent="0.3">
      <c r="A302" s="293">
        <v>359</v>
      </c>
      <c r="B302" s="293" t="s">
        <v>999</v>
      </c>
      <c r="C302" s="293" t="s">
        <v>1108</v>
      </c>
      <c r="D302" s="295" t="s">
        <v>173</v>
      </c>
      <c r="E302" s="295">
        <v>2</v>
      </c>
      <c r="F302" s="250">
        <f ca="1">VLOOKUP($D302,Data!$C:$I,7,FALSE)</f>
        <v>0</v>
      </c>
      <c r="G302" s="296" t="str">
        <f t="shared" si="50"/>
        <v>PR.PT-32</v>
      </c>
      <c r="H302" s="296" t="str">
        <f t="shared" ca="1" si="51"/>
        <v>PR.PT-320</v>
      </c>
    </row>
    <row r="303" spans="1:8" ht="14" x14ac:dyDescent="0.3">
      <c r="A303" s="293">
        <v>360</v>
      </c>
      <c r="B303" s="293" t="s">
        <v>999</v>
      </c>
      <c r="C303" s="293" t="s">
        <v>1109</v>
      </c>
      <c r="D303" s="295" t="s">
        <v>174</v>
      </c>
      <c r="E303" s="295">
        <v>2</v>
      </c>
      <c r="F303" s="250">
        <f ca="1">VLOOKUP($D303,Data!$C:$I,7,FALSE)</f>
        <v>0</v>
      </c>
      <c r="G303" s="296" t="str">
        <f t="shared" si="50"/>
        <v>PR.PT-32</v>
      </c>
      <c r="H303" s="296" t="str">
        <f t="shared" ca="1" si="51"/>
        <v>PR.PT-320</v>
      </c>
    </row>
    <row r="304" spans="1:8" ht="14" x14ac:dyDescent="0.3">
      <c r="A304" s="293">
        <v>361</v>
      </c>
      <c r="B304" s="293" t="s">
        <v>999</v>
      </c>
      <c r="C304" s="293" t="s">
        <v>1110</v>
      </c>
      <c r="D304" s="295" t="s">
        <v>175</v>
      </c>
      <c r="E304" s="295">
        <v>3</v>
      </c>
      <c r="F304" s="250">
        <f ca="1">VLOOKUP($D304,Data!$C:$I,7,FALSE)</f>
        <v>0</v>
      </c>
      <c r="G304" s="296" t="str">
        <f t="shared" si="50"/>
        <v>PR.PT-33</v>
      </c>
      <c r="H304" s="296" t="str">
        <f t="shared" ca="1" si="51"/>
        <v>PR.PT-330</v>
      </c>
    </row>
    <row r="305" spans="1:8" ht="14" x14ac:dyDescent="0.3">
      <c r="A305" s="293">
        <v>363</v>
      </c>
      <c r="B305" s="293" t="s">
        <v>999</v>
      </c>
      <c r="C305" s="293" t="s">
        <v>1188</v>
      </c>
      <c r="D305" s="295" t="s">
        <v>177</v>
      </c>
      <c r="E305" s="295">
        <v>3</v>
      </c>
      <c r="F305" s="250">
        <f ca="1">VLOOKUP($D305,Data!$C:$I,7,FALSE)</f>
        <v>0</v>
      </c>
      <c r="G305" s="296" t="str">
        <f t="shared" si="50"/>
        <v>PR.PT-33</v>
      </c>
      <c r="H305" s="296" t="str">
        <f t="shared" ca="1" si="51"/>
        <v>PR.PT-330</v>
      </c>
    </row>
    <row r="306" spans="1:8" ht="14" x14ac:dyDescent="0.3">
      <c r="A306" s="293">
        <v>364</v>
      </c>
      <c r="B306" s="293" t="s">
        <v>1189</v>
      </c>
      <c r="C306" s="293" t="s">
        <v>1114</v>
      </c>
      <c r="D306" s="295" t="s">
        <v>351</v>
      </c>
      <c r="E306" s="295">
        <v>2</v>
      </c>
      <c r="F306" s="250">
        <f ca="1">VLOOKUP($D306,Data!$C:$I,7,FALSE)</f>
        <v>0</v>
      </c>
      <c r="G306" s="296" t="str">
        <f t="shared" si="50"/>
        <v>PR.PT-42</v>
      </c>
      <c r="H306" s="296" t="str">
        <f t="shared" ca="1" si="51"/>
        <v>PR.PT-420</v>
      </c>
    </row>
    <row r="307" spans="1:8" ht="14" x14ac:dyDescent="0.3">
      <c r="A307" s="293">
        <v>365</v>
      </c>
      <c r="B307" s="293" t="s">
        <v>1189</v>
      </c>
      <c r="C307" s="293" t="s">
        <v>1115</v>
      </c>
      <c r="D307" s="295" t="s">
        <v>354</v>
      </c>
      <c r="E307" s="295">
        <v>2</v>
      </c>
      <c r="F307" s="250">
        <f ca="1">VLOOKUP($D307,Data!$C:$I,7,FALSE)</f>
        <v>0</v>
      </c>
      <c r="G307" s="296" t="str">
        <f t="shared" si="50"/>
        <v>PR.PT-42</v>
      </c>
      <c r="H307" s="296" t="str">
        <f t="shared" ca="1" si="51"/>
        <v>PR.PT-420</v>
      </c>
    </row>
    <row r="308" spans="1:8" ht="14" x14ac:dyDescent="0.3">
      <c r="A308" s="293">
        <v>366</v>
      </c>
      <c r="B308" s="293" t="s">
        <v>1189</v>
      </c>
      <c r="C308" s="293" t="s">
        <v>1116</v>
      </c>
      <c r="D308" s="295" t="s">
        <v>358</v>
      </c>
      <c r="E308" s="295">
        <v>1</v>
      </c>
      <c r="F308" s="250">
        <f ca="1">VLOOKUP($D308,Data!$C:$I,7,FALSE)</f>
        <v>0</v>
      </c>
      <c r="G308" s="296" t="str">
        <f t="shared" si="50"/>
        <v>PR.PT-41</v>
      </c>
      <c r="H308" s="296" t="str">
        <f t="shared" ca="1" si="51"/>
        <v>PR.PT-410</v>
      </c>
    </row>
    <row r="309" spans="1:8" ht="14" x14ac:dyDescent="0.3">
      <c r="A309" s="293">
        <v>368</v>
      </c>
      <c r="B309" s="293" t="s">
        <v>1190</v>
      </c>
      <c r="C309" s="293" t="s">
        <v>1115</v>
      </c>
      <c r="D309" s="295" t="s">
        <v>354</v>
      </c>
      <c r="E309" s="295">
        <v>2</v>
      </c>
      <c r="F309" s="250">
        <f ca="1">VLOOKUP($D309,Data!$C:$I,7,FALSE)</f>
        <v>0</v>
      </c>
      <c r="G309" s="296" t="str">
        <f t="shared" si="50"/>
        <v>PR.PT-52</v>
      </c>
      <c r="H309" s="296" t="str">
        <f t="shared" ca="1" si="51"/>
        <v>PR.PT-520</v>
      </c>
    </row>
    <row r="310" spans="1:8" ht="14" x14ac:dyDescent="0.3">
      <c r="A310" s="293">
        <v>369</v>
      </c>
      <c r="B310" s="293" t="s">
        <v>1190</v>
      </c>
      <c r="C310" s="293" t="s">
        <v>1116</v>
      </c>
      <c r="D310" s="295" t="s">
        <v>358</v>
      </c>
      <c r="E310" s="295">
        <v>1</v>
      </c>
      <c r="F310" s="250">
        <f ca="1">VLOOKUP($D310,Data!$C:$I,7,FALSE)</f>
        <v>0</v>
      </c>
      <c r="G310" s="296" t="str">
        <f t="shared" si="50"/>
        <v>PR.PT-51</v>
      </c>
      <c r="H310" s="296" t="str">
        <f t="shared" ca="1" si="51"/>
        <v>PR.PT-510</v>
      </c>
    </row>
    <row r="311" spans="1:8" ht="14" x14ac:dyDescent="0.3">
      <c r="A311" s="293">
        <v>372</v>
      </c>
      <c r="B311" s="293" t="s">
        <v>1191</v>
      </c>
      <c r="C311" s="294" t="s">
        <v>1182</v>
      </c>
      <c r="D311" s="294" t="s">
        <v>229</v>
      </c>
      <c r="E311" s="294">
        <v>1</v>
      </c>
      <c r="F311" s="250">
        <f ca="1">VLOOKUP($D311,Data!$C:$I,7,FALSE)</f>
        <v>0</v>
      </c>
      <c r="G311" s="296" t="str">
        <f t="shared" si="50"/>
        <v>DE.AE-11</v>
      </c>
      <c r="H311" s="296" t="str">
        <f t="shared" ca="1" si="51"/>
        <v>DE.AE-110</v>
      </c>
    </row>
    <row r="312" spans="1:8" ht="14" x14ac:dyDescent="0.3">
      <c r="A312" s="293">
        <v>373</v>
      </c>
      <c r="B312" s="293" t="s">
        <v>1192</v>
      </c>
      <c r="C312" s="294" t="s">
        <v>1193</v>
      </c>
      <c r="D312" s="294" t="s">
        <v>259</v>
      </c>
      <c r="E312" s="294">
        <v>3</v>
      </c>
      <c r="F312" s="250">
        <f ca="1">VLOOKUP($D312,Data!$C:$I,7,FALSE)</f>
        <v>0</v>
      </c>
      <c r="G312" s="296" t="str">
        <f t="shared" si="50"/>
        <v>DE.AE-23</v>
      </c>
      <c r="H312" s="296" t="str">
        <f t="shared" ca="1" si="51"/>
        <v>DE.AE-230</v>
      </c>
    </row>
    <row r="313" spans="1:8" ht="14" x14ac:dyDescent="0.3">
      <c r="A313" s="293">
        <v>374</v>
      </c>
      <c r="B313" s="293" t="s">
        <v>1192</v>
      </c>
      <c r="C313" s="294" t="s">
        <v>1194</v>
      </c>
      <c r="D313" s="294" t="s">
        <v>270</v>
      </c>
      <c r="E313" s="294">
        <v>3</v>
      </c>
      <c r="F313" s="250">
        <f ca="1">VLOOKUP($D313,Data!$C:$I,7,FALSE)</f>
        <v>0</v>
      </c>
      <c r="G313" s="296" t="str">
        <f t="shared" si="50"/>
        <v>DE.AE-23</v>
      </c>
      <c r="H313" s="296" t="str">
        <f t="shared" ca="1" si="51"/>
        <v>DE.AE-230</v>
      </c>
    </row>
    <row r="314" spans="1:8" ht="14" x14ac:dyDescent="0.3">
      <c r="A314" s="293">
        <v>375</v>
      </c>
      <c r="B314" s="293" t="s">
        <v>1192</v>
      </c>
      <c r="C314" s="294" t="s">
        <v>1195</v>
      </c>
      <c r="D314" s="294" t="s">
        <v>277</v>
      </c>
      <c r="E314" s="294">
        <v>3</v>
      </c>
      <c r="F314" s="250">
        <f ca="1">VLOOKUP($D314,Data!$C:$I,7,FALSE)</f>
        <v>0</v>
      </c>
      <c r="G314" s="296" t="str">
        <f t="shared" si="50"/>
        <v>DE.AE-23</v>
      </c>
      <c r="H314" s="296" t="str">
        <f t="shared" ca="1" si="51"/>
        <v>DE.AE-230</v>
      </c>
    </row>
    <row r="315" spans="1:8" ht="14" x14ac:dyDescent="0.3">
      <c r="A315" s="293">
        <v>376</v>
      </c>
      <c r="B315" s="293" t="s">
        <v>1196</v>
      </c>
      <c r="C315" s="294" t="s">
        <v>1197</v>
      </c>
      <c r="D315" s="294" t="s">
        <v>258</v>
      </c>
      <c r="E315" s="294">
        <v>2</v>
      </c>
      <c r="F315" s="250">
        <f ca="1">VLOOKUP($D315,Data!$C:$I,7,FALSE)</f>
        <v>0</v>
      </c>
      <c r="G315" s="296" t="str">
        <f t="shared" si="50"/>
        <v>DE.AE-32</v>
      </c>
      <c r="H315" s="296" t="str">
        <f t="shared" ca="1" si="51"/>
        <v>DE.AE-320</v>
      </c>
    </row>
    <row r="316" spans="1:8" ht="14" x14ac:dyDescent="0.3">
      <c r="A316" s="293">
        <v>377</v>
      </c>
      <c r="B316" s="293" t="s">
        <v>1196</v>
      </c>
      <c r="C316" s="294" t="s">
        <v>1193</v>
      </c>
      <c r="D316" s="294" t="s">
        <v>259</v>
      </c>
      <c r="E316" s="294">
        <v>3</v>
      </c>
      <c r="F316" s="250">
        <f ca="1">VLOOKUP($D316,Data!$C:$I,7,FALSE)</f>
        <v>0</v>
      </c>
      <c r="G316" s="296" t="str">
        <f t="shared" si="50"/>
        <v>DE.AE-33</v>
      </c>
      <c r="H316" s="296" t="str">
        <f t="shared" ca="1" si="51"/>
        <v>DE.AE-330</v>
      </c>
    </row>
    <row r="317" spans="1:8" ht="14" x14ac:dyDescent="0.3">
      <c r="A317" s="293">
        <v>378</v>
      </c>
      <c r="B317" s="293" t="s">
        <v>1196</v>
      </c>
      <c r="C317" s="294" t="s">
        <v>1194</v>
      </c>
      <c r="D317" s="294" t="s">
        <v>270</v>
      </c>
      <c r="E317" s="294">
        <v>3</v>
      </c>
      <c r="F317" s="250">
        <f ca="1">VLOOKUP($D317,Data!$C:$I,7,FALSE)</f>
        <v>0</v>
      </c>
      <c r="G317" s="296" t="str">
        <f t="shared" si="50"/>
        <v>DE.AE-33</v>
      </c>
      <c r="H317" s="296" t="str">
        <f t="shared" ca="1" si="51"/>
        <v>DE.AE-330</v>
      </c>
    </row>
    <row r="318" spans="1:8" ht="14" x14ac:dyDescent="0.3">
      <c r="A318" s="293">
        <v>379</v>
      </c>
      <c r="B318" s="293" t="s">
        <v>1198</v>
      </c>
      <c r="C318" s="294" t="s">
        <v>1199</v>
      </c>
      <c r="D318" s="294" t="s">
        <v>263</v>
      </c>
      <c r="E318" s="294">
        <v>1</v>
      </c>
      <c r="F318" s="250">
        <f ca="1">VLOOKUP($D318,Data!$C:$I,7,FALSE)</f>
        <v>0</v>
      </c>
      <c r="G318" s="296" t="str">
        <f t="shared" si="50"/>
        <v>DE.AE-41</v>
      </c>
      <c r="H318" s="296" t="str">
        <f t="shared" ca="1" si="51"/>
        <v>DE.AE-410</v>
      </c>
    </row>
    <row r="319" spans="1:8" ht="14" x14ac:dyDescent="0.3">
      <c r="A319" s="293">
        <v>380</v>
      </c>
      <c r="B319" s="293" t="s">
        <v>1198</v>
      </c>
      <c r="C319" s="294" t="s">
        <v>1200</v>
      </c>
      <c r="D319" s="294" t="s">
        <v>264</v>
      </c>
      <c r="E319" s="294">
        <v>2</v>
      </c>
      <c r="F319" s="250">
        <f ca="1">VLOOKUP($D319,Data!$C:$I,7,FALSE)</f>
        <v>0</v>
      </c>
      <c r="G319" s="296" t="str">
        <f t="shared" si="50"/>
        <v>DE.AE-42</v>
      </c>
      <c r="H319" s="296" t="str">
        <f t="shared" ca="1" si="51"/>
        <v>DE.AE-420</v>
      </c>
    </row>
    <row r="320" spans="1:8" ht="14" x14ac:dyDescent="0.3">
      <c r="A320" s="293">
        <v>381</v>
      </c>
      <c r="B320" s="293" t="s">
        <v>1198</v>
      </c>
      <c r="C320" s="294" t="s">
        <v>1061</v>
      </c>
      <c r="D320" s="294" t="s">
        <v>189</v>
      </c>
      <c r="E320" s="294">
        <v>2</v>
      </c>
      <c r="F320" s="250">
        <f ca="1">VLOOKUP($D320,Data!$C:$I,7,FALSE)</f>
        <v>0</v>
      </c>
      <c r="G320" s="296" t="str">
        <f t="shared" si="50"/>
        <v>DE.AE-42</v>
      </c>
      <c r="H320" s="296" t="str">
        <f t="shared" ca="1" si="51"/>
        <v>DE.AE-420</v>
      </c>
    </row>
    <row r="321" spans="1:8" ht="14" x14ac:dyDescent="0.3">
      <c r="A321" s="293">
        <v>382</v>
      </c>
      <c r="B321" s="293" t="s">
        <v>1198</v>
      </c>
      <c r="C321" s="294" t="s">
        <v>1201</v>
      </c>
      <c r="D321" s="294" t="s">
        <v>269</v>
      </c>
      <c r="E321" s="294">
        <v>3</v>
      </c>
      <c r="F321" s="250">
        <f ca="1">VLOOKUP($D321,Data!$C:$I,7,FALSE)</f>
        <v>0</v>
      </c>
      <c r="G321" s="296" t="str">
        <f t="shared" si="50"/>
        <v>DE.AE-43</v>
      </c>
      <c r="H321" s="296" t="str">
        <f t="shared" ca="1" si="51"/>
        <v>DE.AE-430</v>
      </c>
    </row>
    <row r="322" spans="1:8" ht="14" x14ac:dyDescent="0.3">
      <c r="A322" s="293">
        <v>383</v>
      </c>
      <c r="B322" s="293" t="s">
        <v>1198</v>
      </c>
      <c r="C322" s="294" t="s">
        <v>1054</v>
      </c>
      <c r="D322" s="294" t="s">
        <v>48</v>
      </c>
      <c r="E322" s="294">
        <v>2</v>
      </c>
      <c r="F322" s="250">
        <f ca="1">VLOOKUP($D322,Data!$C:$I,7,FALSE)</f>
        <v>0</v>
      </c>
      <c r="G322" s="296" t="str">
        <f t="shared" ref="G322:G385" si="52">CONCATENATE($B322,$E322)</f>
        <v>DE.AE-42</v>
      </c>
      <c r="H322" s="296" t="str">
        <f t="shared" ref="H322:H385" ca="1" si="53">_xlfn.IFNA(CONCATENATE($B322,$E322,$F322),CONCATENATE($B322,$E322,0))</f>
        <v>DE.AE-420</v>
      </c>
    </row>
    <row r="323" spans="1:8" ht="14" x14ac:dyDescent="0.3">
      <c r="A323" s="293">
        <v>383</v>
      </c>
      <c r="B323" s="293" t="s">
        <v>1198</v>
      </c>
      <c r="C323" s="294" t="s">
        <v>1054</v>
      </c>
      <c r="D323" s="294" t="s">
        <v>61</v>
      </c>
      <c r="E323" s="295">
        <v>3</v>
      </c>
      <c r="F323" s="250">
        <f ca="1">VLOOKUP($D323,Data!$C:$I,7,FALSE)</f>
        <v>0</v>
      </c>
      <c r="G323" s="296" t="str">
        <f t="shared" si="52"/>
        <v>DE.AE-43</v>
      </c>
      <c r="H323" s="296" t="str">
        <f t="shared" ca="1" si="53"/>
        <v>DE.AE-430</v>
      </c>
    </row>
    <row r="324" spans="1:8" ht="14" x14ac:dyDescent="0.3">
      <c r="A324" s="293">
        <v>384</v>
      </c>
      <c r="B324" s="293" t="s">
        <v>1202</v>
      </c>
      <c r="C324" s="294" t="s">
        <v>1203</v>
      </c>
      <c r="D324" s="294" t="s">
        <v>262</v>
      </c>
      <c r="E324" s="294">
        <v>1</v>
      </c>
      <c r="F324" s="250">
        <f ca="1">VLOOKUP($D324,Data!$C:$I,7,FALSE)</f>
        <v>0</v>
      </c>
      <c r="G324" s="296" t="str">
        <f t="shared" si="52"/>
        <v>DE.AE-51</v>
      </c>
      <c r="H324" s="296" t="str">
        <f t="shared" ca="1" si="53"/>
        <v>DE.AE-510</v>
      </c>
    </row>
    <row r="325" spans="1:8" ht="14" x14ac:dyDescent="0.3">
      <c r="A325" s="293">
        <v>385</v>
      </c>
      <c r="B325" s="293" t="s">
        <v>1202</v>
      </c>
      <c r="C325" s="294" t="s">
        <v>1200</v>
      </c>
      <c r="D325" s="294" t="s">
        <v>264</v>
      </c>
      <c r="E325" s="294">
        <v>2</v>
      </c>
      <c r="F325" s="250">
        <f ca="1">VLOOKUP($D325,Data!$C:$I,7,FALSE)</f>
        <v>0</v>
      </c>
      <c r="G325" s="296" t="str">
        <f t="shared" si="52"/>
        <v>DE.AE-52</v>
      </c>
      <c r="H325" s="296" t="str">
        <f t="shared" ca="1" si="53"/>
        <v>DE.AE-520</v>
      </c>
    </row>
    <row r="326" spans="1:8" ht="14" x14ac:dyDescent="0.3">
      <c r="A326" s="293">
        <v>386</v>
      </c>
      <c r="B326" s="293" t="s">
        <v>1202</v>
      </c>
      <c r="C326" s="294" t="s">
        <v>1061</v>
      </c>
      <c r="D326" s="294" t="s">
        <v>189</v>
      </c>
      <c r="E326" s="294">
        <v>2</v>
      </c>
      <c r="F326" s="250">
        <f ca="1">VLOOKUP($D326,Data!$C:$I,7,FALSE)</f>
        <v>0</v>
      </c>
      <c r="G326" s="296" t="str">
        <f t="shared" si="52"/>
        <v>DE.AE-52</v>
      </c>
      <c r="H326" s="296" t="str">
        <f t="shared" ca="1" si="53"/>
        <v>DE.AE-520</v>
      </c>
    </row>
    <row r="327" spans="1:8" ht="14" x14ac:dyDescent="0.3">
      <c r="A327" s="293">
        <v>387</v>
      </c>
      <c r="B327" s="293" t="s">
        <v>1202</v>
      </c>
      <c r="C327" s="294" t="s">
        <v>1204</v>
      </c>
      <c r="D327" s="294" t="s">
        <v>233</v>
      </c>
      <c r="E327" s="294">
        <v>2</v>
      </c>
      <c r="F327" s="250">
        <f ca="1">VLOOKUP($D327,Data!$C:$I,7,FALSE)</f>
        <v>0</v>
      </c>
      <c r="G327" s="296" t="str">
        <f t="shared" si="52"/>
        <v>DE.AE-52</v>
      </c>
      <c r="H327" s="296" t="str">
        <f t="shared" ca="1" si="53"/>
        <v>DE.AE-520</v>
      </c>
    </row>
    <row r="328" spans="1:8" ht="14" x14ac:dyDescent="0.3">
      <c r="A328" s="293">
        <v>388</v>
      </c>
      <c r="B328" s="293" t="s">
        <v>1202</v>
      </c>
      <c r="C328" s="294" t="s">
        <v>1201</v>
      </c>
      <c r="D328" s="294" t="s">
        <v>269</v>
      </c>
      <c r="E328" s="294">
        <v>3</v>
      </c>
      <c r="F328" s="250">
        <f ca="1">VLOOKUP($D328,Data!$C:$I,7,FALSE)</f>
        <v>0</v>
      </c>
      <c r="G328" s="296" t="str">
        <f t="shared" si="52"/>
        <v>DE.AE-53</v>
      </c>
      <c r="H328" s="296" t="str">
        <f t="shared" ca="1" si="53"/>
        <v>DE.AE-530</v>
      </c>
    </row>
    <row r="329" spans="1:8" ht="14" x14ac:dyDescent="0.3">
      <c r="A329" s="293">
        <v>389</v>
      </c>
      <c r="B329" s="293" t="s">
        <v>1202</v>
      </c>
      <c r="C329" s="294" t="s">
        <v>1054</v>
      </c>
      <c r="D329" s="294" t="s">
        <v>48</v>
      </c>
      <c r="E329" s="294">
        <v>2</v>
      </c>
      <c r="F329" s="250">
        <f ca="1">VLOOKUP($D329,Data!$C:$I,7,FALSE)</f>
        <v>0</v>
      </c>
      <c r="G329" s="296" t="str">
        <f t="shared" si="52"/>
        <v>DE.AE-52</v>
      </c>
      <c r="H329" s="296" t="str">
        <f t="shared" ca="1" si="53"/>
        <v>DE.AE-520</v>
      </c>
    </row>
    <row r="330" spans="1:8" ht="14" x14ac:dyDescent="0.3">
      <c r="A330" s="293">
        <v>389</v>
      </c>
      <c r="B330" s="293" t="s">
        <v>1202</v>
      </c>
      <c r="C330" s="294" t="s">
        <v>1054</v>
      </c>
      <c r="D330" s="294" t="s">
        <v>61</v>
      </c>
      <c r="E330" s="295">
        <v>3</v>
      </c>
      <c r="F330" s="250">
        <f ca="1">VLOOKUP($D330,Data!$C:$I,7,FALSE)</f>
        <v>0</v>
      </c>
      <c r="G330" s="296" t="str">
        <f t="shared" si="52"/>
        <v>DE.AE-53</v>
      </c>
      <c r="H330" s="296" t="str">
        <f t="shared" ca="1" si="53"/>
        <v>DE.AE-530</v>
      </c>
    </row>
    <row r="331" spans="1:8" ht="14" x14ac:dyDescent="0.3">
      <c r="A331" s="293">
        <v>390</v>
      </c>
      <c r="B331" s="293" t="s">
        <v>1205</v>
      </c>
      <c r="C331" s="294" t="s">
        <v>1182</v>
      </c>
      <c r="D331" s="294" t="s">
        <v>229</v>
      </c>
      <c r="E331" s="294">
        <v>1</v>
      </c>
      <c r="F331" s="250">
        <f ca="1">VLOOKUP($D331,Data!$C:$I,7,FALSE)</f>
        <v>0</v>
      </c>
      <c r="G331" s="296" t="str">
        <f t="shared" si="52"/>
        <v>DE.CM-11</v>
      </c>
      <c r="H331" s="296" t="str">
        <f t="shared" ca="1" si="53"/>
        <v>DE.CM-110</v>
      </c>
    </row>
    <row r="332" spans="1:8" ht="14" x14ac:dyDescent="0.3">
      <c r="A332" s="293">
        <v>391</v>
      </c>
      <c r="B332" s="293" t="s">
        <v>1205</v>
      </c>
      <c r="C332" s="294" t="s">
        <v>1206</v>
      </c>
      <c r="D332" s="294" t="s">
        <v>230</v>
      </c>
      <c r="E332" s="294">
        <v>1</v>
      </c>
      <c r="F332" s="250">
        <f ca="1">VLOOKUP($D332,Data!$C:$I,7,FALSE)</f>
        <v>0</v>
      </c>
      <c r="G332" s="296" t="str">
        <f t="shared" si="52"/>
        <v>DE.CM-11</v>
      </c>
      <c r="H332" s="296" t="str">
        <f t="shared" ca="1" si="53"/>
        <v>DE.CM-110</v>
      </c>
    </row>
    <row r="333" spans="1:8" ht="14" x14ac:dyDescent="0.3">
      <c r="A333" s="293">
        <v>392</v>
      </c>
      <c r="B333" s="293" t="s">
        <v>1205</v>
      </c>
      <c r="C333" s="294" t="s">
        <v>1143</v>
      </c>
      <c r="D333" s="294" t="s">
        <v>232</v>
      </c>
      <c r="E333" s="294">
        <v>2</v>
      </c>
      <c r="F333" s="250">
        <f ca="1">VLOOKUP($D333,Data!$C:$I,7,FALSE)</f>
        <v>0</v>
      </c>
      <c r="G333" s="296" t="str">
        <f t="shared" si="52"/>
        <v>DE.CM-12</v>
      </c>
      <c r="H333" s="296" t="str">
        <f t="shared" ca="1" si="53"/>
        <v>DE.CM-120</v>
      </c>
    </row>
    <row r="334" spans="1:8" ht="14" x14ac:dyDescent="0.3">
      <c r="A334" s="293">
        <v>393</v>
      </c>
      <c r="B334" s="293" t="s">
        <v>1205</v>
      </c>
      <c r="C334" s="294" t="s">
        <v>1207</v>
      </c>
      <c r="D334" s="294" t="s">
        <v>234</v>
      </c>
      <c r="E334" s="294">
        <v>2</v>
      </c>
      <c r="F334" s="250">
        <f ca="1">VLOOKUP($D334,Data!$C:$I,7,FALSE)</f>
        <v>0</v>
      </c>
      <c r="G334" s="296" t="str">
        <f t="shared" si="52"/>
        <v>DE.CM-12</v>
      </c>
      <c r="H334" s="296" t="str">
        <f t="shared" ca="1" si="53"/>
        <v>DE.CM-120</v>
      </c>
    </row>
    <row r="335" spans="1:8" ht="14" x14ac:dyDescent="0.3">
      <c r="A335" s="293">
        <v>394</v>
      </c>
      <c r="B335" s="293" t="s">
        <v>1205</v>
      </c>
      <c r="C335" s="294" t="s">
        <v>1061</v>
      </c>
      <c r="D335" s="294" t="s">
        <v>189</v>
      </c>
      <c r="E335" s="294">
        <v>2</v>
      </c>
      <c r="F335" s="250">
        <f ca="1">VLOOKUP($D335,Data!$C:$I,7,FALSE)</f>
        <v>0</v>
      </c>
      <c r="G335" s="296" t="str">
        <f t="shared" si="52"/>
        <v>DE.CM-12</v>
      </c>
      <c r="H335" s="296" t="str">
        <f t="shared" ca="1" si="53"/>
        <v>DE.CM-120</v>
      </c>
    </row>
    <row r="336" spans="1:8" ht="14" x14ac:dyDescent="0.3">
      <c r="A336" s="293">
        <v>395</v>
      </c>
      <c r="B336" s="293" t="s">
        <v>1205</v>
      </c>
      <c r="C336" s="294" t="s">
        <v>1208</v>
      </c>
      <c r="D336" s="294" t="s">
        <v>235</v>
      </c>
      <c r="E336" s="294">
        <v>3</v>
      </c>
      <c r="F336" s="250">
        <f ca="1">VLOOKUP($D336,Data!$C:$I,7,FALSE)</f>
        <v>0</v>
      </c>
      <c r="G336" s="296" t="str">
        <f t="shared" si="52"/>
        <v>DE.CM-13</v>
      </c>
      <c r="H336" s="296" t="str">
        <f t="shared" ca="1" si="53"/>
        <v>DE.CM-130</v>
      </c>
    </row>
    <row r="337" spans="1:8" ht="14" x14ac:dyDescent="0.3">
      <c r="A337" s="293">
        <v>396</v>
      </c>
      <c r="B337" s="293" t="s">
        <v>1205</v>
      </c>
      <c r="C337" s="294" t="s">
        <v>1144</v>
      </c>
      <c r="D337" s="294" t="s">
        <v>236</v>
      </c>
      <c r="E337" s="294">
        <v>3</v>
      </c>
      <c r="F337" s="250">
        <f ca="1">VLOOKUP($D337,Data!$C:$I,7,FALSE)</f>
        <v>0</v>
      </c>
      <c r="G337" s="296" t="str">
        <f t="shared" si="52"/>
        <v>DE.CM-13</v>
      </c>
      <c r="H337" s="296" t="str">
        <f t="shared" ca="1" si="53"/>
        <v>DE.CM-130</v>
      </c>
    </row>
    <row r="338" spans="1:8" ht="14" x14ac:dyDescent="0.3">
      <c r="A338" s="293">
        <v>397</v>
      </c>
      <c r="B338" s="293" t="s">
        <v>1209</v>
      </c>
      <c r="C338" s="294" t="s">
        <v>1182</v>
      </c>
      <c r="D338" s="294" t="s">
        <v>229</v>
      </c>
      <c r="E338" s="294">
        <v>1</v>
      </c>
      <c r="F338" s="250">
        <f ca="1">VLOOKUP($D338,Data!$C:$I,7,FALSE)</f>
        <v>0</v>
      </c>
      <c r="G338" s="296" t="str">
        <f t="shared" si="52"/>
        <v>DE.CM-21</v>
      </c>
      <c r="H338" s="296" t="str">
        <f t="shared" ca="1" si="53"/>
        <v>DE.CM-210</v>
      </c>
    </row>
    <row r="339" spans="1:8" ht="14" x14ac:dyDescent="0.3">
      <c r="A339" s="293">
        <v>398</v>
      </c>
      <c r="B339" s="293" t="s">
        <v>1209</v>
      </c>
      <c r="C339" s="294" t="s">
        <v>1206</v>
      </c>
      <c r="D339" s="294" t="s">
        <v>230</v>
      </c>
      <c r="E339" s="294">
        <v>1</v>
      </c>
      <c r="F339" s="250">
        <f ca="1">VLOOKUP($D339,Data!$C:$I,7,FALSE)</f>
        <v>0</v>
      </c>
      <c r="G339" s="296" t="str">
        <f t="shared" si="52"/>
        <v>DE.CM-21</v>
      </c>
      <c r="H339" s="296" t="str">
        <f t="shared" ca="1" si="53"/>
        <v>DE.CM-210</v>
      </c>
    </row>
    <row r="340" spans="1:8" ht="14" x14ac:dyDescent="0.3">
      <c r="A340" s="293">
        <v>399</v>
      </c>
      <c r="B340" s="293" t="s">
        <v>1209</v>
      </c>
      <c r="C340" s="294" t="s">
        <v>1143</v>
      </c>
      <c r="D340" s="294" t="s">
        <v>232</v>
      </c>
      <c r="E340" s="294">
        <v>2</v>
      </c>
      <c r="F340" s="250">
        <f ca="1">VLOOKUP($D340,Data!$C:$I,7,FALSE)</f>
        <v>0</v>
      </c>
      <c r="G340" s="296" t="str">
        <f t="shared" si="52"/>
        <v>DE.CM-22</v>
      </c>
      <c r="H340" s="296" t="str">
        <f t="shared" ca="1" si="53"/>
        <v>DE.CM-220</v>
      </c>
    </row>
    <row r="341" spans="1:8" ht="14" x14ac:dyDescent="0.3">
      <c r="A341" s="293">
        <v>400</v>
      </c>
      <c r="B341" s="293" t="s">
        <v>1209</v>
      </c>
      <c r="C341" s="294" t="s">
        <v>1144</v>
      </c>
      <c r="D341" s="294" t="s">
        <v>236</v>
      </c>
      <c r="E341" s="294">
        <v>3</v>
      </c>
      <c r="F341" s="250">
        <f ca="1">VLOOKUP($D341,Data!$C:$I,7,FALSE)</f>
        <v>0</v>
      </c>
      <c r="G341" s="296" t="str">
        <f t="shared" si="52"/>
        <v>DE.CM-23</v>
      </c>
      <c r="H341" s="296" t="str">
        <f t="shared" ca="1" si="53"/>
        <v>DE.CM-230</v>
      </c>
    </row>
    <row r="342" spans="1:8" ht="14" x14ac:dyDescent="0.3">
      <c r="A342" s="293">
        <v>401</v>
      </c>
      <c r="B342" s="293" t="s">
        <v>1210</v>
      </c>
      <c r="C342" s="294" t="s">
        <v>1182</v>
      </c>
      <c r="D342" s="294" t="s">
        <v>229</v>
      </c>
      <c r="E342" s="294">
        <v>1</v>
      </c>
      <c r="F342" s="250">
        <f ca="1">VLOOKUP($D342,Data!$C:$I,7,FALSE)</f>
        <v>0</v>
      </c>
      <c r="G342" s="296" t="str">
        <f t="shared" si="52"/>
        <v>DE.CM-31</v>
      </c>
      <c r="H342" s="296" t="str">
        <f t="shared" ca="1" si="53"/>
        <v>DE.CM-310</v>
      </c>
    </row>
    <row r="343" spans="1:8" ht="14" x14ac:dyDescent="0.3">
      <c r="A343" s="293">
        <v>402</v>
      </c>
      <c r="B343" s="293" t="s">
        <v>1210</v>
      </c>
      <c r="C343" s="294" t="s">
        <v>1206</v>
      </c>
      <c r="D343" s="294" t="s">
        <v>230</v>
      </c>
      <c r="E343" s="294">
        <v>1</v>
      </c>
      <c r="F343" s="250">
        <f ca="1">VLOOKUP($D343,Data!$C:$I,7,FALSE)</f>
        <v>0</v>
      </c>
      <c r="G343" s="296" t="str">
        <f t="shared" si="52"/>
        <v>DE.CM-31</v>
      </c>
      <c r="H343" s="296" t="str">
        <f t="shared" ca="1" si="53"/>
        <v>DE.CM-310</v>
      </c>
    </row>
    <row r="344" spans="1:8" ht="14" x14ac:dyDescent="0.3">
      <c r="A344" s="293">
        <v>403</v>
      </c>
      <c r="B344" s="293" t="s">
        <v>1210</v>
      </c>
      <c r="C344" s="294" t="s">
        <v>1211</v>
      </c>
      <c r="D344" s="294" t="s">
        <v>232</v>
      </c>
      <c r="E344" s="294">
        <v>2</v>
      </c>
      <c r="F344" s="250">
        <f ca="1">VLOOKUP($D344,Data!$C:$I,7,FALSE)</f>
        <v>0</v>
      </c>
      <c r="G344" s="296" t="str">
        <f t="shared" si="52"/>
        <v>DE.CM-32</v>
      </c>
      <c r="H344" s="296" t="str">
        <f t="shared" ca="1" si="53"/>
        <v>DE.CM-320</v>
      </c>
    </row>
    <row r="345" spans="1:8" ht="14" x14ac:dyDescent="0.3">
      <c r="A345" s="293">
        <v>404</v>
      </c>
      <c r="B345" s="293" t="s">
        <v>1210</v>
      </c>
      <c r="C345" s="294" t="s">
        <v>1144</v>
      </c>
      <c r="D345" s="294" t="s">
        <v>236</v>
      </c>
      <c r="E345" s="294">
        <v>3</v>
      </c>
      <c r="F345" s="250">
        <f ca="1">VLOOKUP($D345,Data!$C:$I,7,FALSE)</f>
        <v>0</v>
      </c>
      <c r="G345" s="296" t="str">
        <f t="shared" si="52"/>
        <v>DE.CM-33</v>
      </c>
      <c r="H345" s="296" t="str">
        <f t="shared" ca="1" si="53"/>
        <v>DE.CM-330</v>
      </c>
    </row>
    <row r="346" spans="1:8" ht="14" x14ac:dyDescent="0.3">
      <c r="A346" s="293">
        <v>405</v>
      </c>
      <c r="B346" s="293" t="s">
        <v>1212</v>
      </c>
      <c r="C346" s="294" t="s">
        <v>1182</v>
      </c>
      <c r="D346" s="294" t="s">
        <v>229</v>
      </c>
      <c r="E346" s="294">
        <v>1</v>
      </c>
      <c r="F346" s="250">
        <f ca="1">VLOOKUP($D346,Data!$C:$I,7,FALSE)</f>
        <v>0</v>
      </c>
      <c r="G346" s="296" t="str">
        <f t="shared" si="52"/>
        <v>DE.CM-41</v>
      </c>
      <c r="H346" s="296" t="str">
        <f t="shared" ca="1" si="53"/>
        <v>DE.CM-410</v>
      </c>
    </row>
    <row r="347" spans="1:8" ht="14" x14ac:dyDescent="0.3">
      <c r="A347" s="293">
        <v>406</v>
      </c>
      <c r="B347" s="293" t="s">
        <v>1212</v>
      </c>
      <c r="C347" s="294" t="s">
        <v>1206</v>
      </c>
      <c r="D347" s="294" t="s">
        <v>230</v>
      </c>
      <c r="E347" s="294">
        <v>1</v>
      </c>
      <c r="F347" s="250">
        <f ca="1">VLOOKUP($D347,Data!$C:$I,7,FALSE)</f>
        <v>0</v>
      </c>
      <c r="G347" s="296" t="str">
        <f t="shared" si="52"/>
        <v>DE.CM-41</v>
      </c>
      <c r="H347" s="296" t="str">
        <f t="shared" ca="1" si="53"/>
        <v>DE.CM-410</v>
      </c>
    </row>
    <row r="348" spans="1:8" ht="14" x14ac:dyDescent="0.3">
      <c r="A348" s="293">
        <v>407</v>
      </c>
      <c r="B348" s="293" t="s">
        <v>1212</v>
      </c>
      <c r="C348" s="294" t="s">
        <v>1143</v>
      </c>
      <c r="D348" s="294" t="s">
        <v>232</v>
      </c>
      <c r="E348" s="294">
        <v>2</v>
      </c>
      <c r="F348" s="250">
        <f ca="1">VLOOKUP($D348,Data!$C:$I,7,FALSE)</f>
        <v>0</v>
      </c>
      <c r="G348" s="296" t="str">
        <f t="shared" si="52"/>
        <v>DE.CM-42</v>
      </c>
      <c r="H348" s="296" t="str">
        <f t="shared" ca="1" si="53"/>
        <v>DE.CM-420</v>
      </c>
    </row>
    <row r="349" spans="1:8" ht="14" x14ac:dyDescent="0.3">
      <c r="A349" s="293">
        <v>408</v>
      </c>
      <c r="B349" s="293" t="s">
        <v>1212</v>
      </c>
      <c r="C349" s="294" t="s">
        <v>1213</v>
      </c>
      <c r="D349" s="294" t="s">
        <v>361</v>
      </c>
      <c r="E349" s="294">
        <v>2</v>
      </c>
      <c r="F349" s="250">
        <f ca="1">VLOOKUP($D349,Data!$C:$I,7,FALSE)</f>
        <v>0</v>
      </c>
      <c r="G349" s="296" t="str">
        <f t="shared" si="52"/>
        <v>DE.CM-42</v>
      </c>
      <c r="H349" s="296" t="str">
        <f t="shared" ca="1" si="53"/>
        <v>DE.CM-420</v>
      </c>
    </row>
    <row r="350" spans="1:8" ht="14" x14ac:dyDescent="0.3">
      <c r="A350" s="293">
        <v>409</v>
      </c>
      <c r="B350" s="293" t="s">
        <v>1212</v>
      </c>
      <c r="C350" s="294" t="s">
        <v>1144</v>
      </c>
      <c r="D350" s="294" t="s">
        <v>236</v>
      </c>
      <c r="E350" s="294">
        <v>3</v>
      </c>
      <c r="F350" s="250">
        <f ca="1">VLOOKUP($D350,Data!$C:$I,7,FALSE)</f>
        <v>0</v>
      </c>
      <c r="G350" s="296" t="str">
        <f t="shared" si="52"/>
        <v>DE.CM-43</v>
      </c>
      <c r="H350" s="296" t="str">
        <f t="shared" ca="1" si="53"/>
        <v>DE.CM-430</v>
      </c>
    </row>
    <row r="351" spans="1:8" ht="14" x14ac:dyDescent="0.3">
      <c r="A351" s="293">
        <v>410</v>
      </c>
      <c r="B351" s="293" t="s">
        <v>1000</v>
      </c>
      <c r="C351" s="294" t="s">
        <v>1182</v>
      </c>
      <c r="D351" s="294" t="s">
        <v>229</v>
      </c>
      <c r="E351" s="294">
        <v>1</v>
      </c>
      <c r="F351" s="250">
        <f ca="1">VLOOKUP($D351,Data!$C:$I,7,FALSE)</f>
        <v>0</v>
      </c>
      <c r="G351" s="296" t="str">
        <f t="shared" si="52"/>
        <v>DE.CM-51</v>
      </c>
      <c r="H351" s="296" t="str">
        <f t="shared" ca="1" si="53"/>
        <v>DE.CM-510</v>
      </c>
    </row>
    <row r="352" spans="1:8" ht="14" x14ac:dyDescent="0.3">
      <c r="A352" s="293">
        <v>411</v>
      </c>
      <c r="B352" s="293" t="s">
        <v>1000</v>
      </c>
      <c r="C352" s="294" t="s">
        <v>1206</v>
      </c>
      <c r="D352" s="294" t="s">
        <v>230</v>
      </c>
      <c r="E352" s="294">
        <v>1</v>
      </c>
      <c r="F352" s="250">
        <f ca="1">VLOOKUP($D352,Data!$C:$I,7,FALSE)</f>
        <v>0</v>
      </c>
      <c r="G352" s="296" t="str">
        <f t="shared" si="52"/>
        <v>DE.CM-51</v>
      </c>
      <c r="H352" s="296" t="str">
        <f t="shared" ca="1" si="53"/>
        <v>DE.CM-510</v>
      </c>
    </row>
    <row r="353" spans="1:8" ht="14" x14ac:dyDescent="0.3">
      <c r="A353" s="293">
        <v>412</v>
      </c>
      <c r="B353" s="293" t="s">
        <v>1000</v>
      </c>
      <c r="C353" s="294" t="s">
        <v>1143</v>
      </c>
      <c r="D353" s="294" t="s">
        <v>232</v>
      </c>
      <c r="E353" s="294">
        <v>2</v>
      </c>
      <c r="F353" s="250">
        <f ca="1">VLOOKUP($D353,Data!$C:$I,7,FALSE)</f>
        <v>0</v>
      </c>
      <c r="G353" s="296" t="str">
        <f t="shared" si="52"/>
        <v>DE.CM-52</v>
      </c>
      <c r="H353" s="296" t="str">
        <f t="shared" ca="1" si="53"/>
        <v>DE.CM-520</v>
      </c>
    </row>
    <row r="354" spans="1:8" ht="14" x14ac:dyDescent="0.3">
      <c r="A354" s="293">
        <v>414</v>
      </c>
      <c r="B354" s="293" t="s">
        <v>1000</v>
      </c>
      <c r="C354" s="294" t="s">
        <v>1090</v>
      </c>
      <c r="D354" s="294" t="s">
        <v>309</v>
      </c>
      <c r="E354" s="294">
        <v>3</v>
      </c>
      <c r="F354" s="250">
        <f ca="1">VLOOKUP($D354,Data!$C:$I,7,FALSE)</f>
        <v>0</v>
      </c>
      <c r="G354" s="296" t="str">
        <f t="shared" si="52"/>
        <v>DE.CM-53</v>
      </c>
      <c r="H354" s="296" t="str">
        <f t="shared" ca="1" si="53"/>
        <v>DE.CM-530</v>
      </c>
    </row>
    <row r="355" spans="1:8" ht="14" x14ac:dyDescent="0.3">
      <c r="A355" s="293">
        <v>415</v>
      </c>
      <c r="B355" s="293" t="s">
        <v>1001</v>
      </c>
      <c r="C355" s="294" t="s">
        <v>1079</v>
      </c>
      <c r="D355" s="294" t="s">
        <v>297</v>
      </c>
      <c r="E355" s="294">
        <v>1</v>
      </c>
      <c r="F355" s="250">
        <f ca="1">VLOOKUP($D355,Data!$C:$I,7,FALSE)</f>
        <v>0</v>
      </c>
      <c r="G355" s="296" t="str">
        <f t="shared" si="52"/>
        <v>DE.CM-61</v>
      </c>
      <c r="H355" s="296" t="str">
        <f t="shared" ca="1" si="53"/>
        <v>DE.CM-610</v>
      </c>
    </row>
    <row r="356" spans="1:8" ht="14" x14ac:dyDescent="0.3">
      <c r="A356" s="293">
        <v>416</v>
      </c>
      <c r="B356" s="293" t="s">
        <v>1001</v>
      </c>
      <c r="C356" s="294" t="s">
        <v>1182</v>
      </c>
      <c r="D356" s="294" t="s">
        <v>229</v>
      </c>
      <c r="E356" s="294">
        <v>1</v>
      </c>
      <c r="F356" s="250">
        <f ca="1">VLOOKUP($D356,Data!$C:$I,7,FALSE)</f>
        <v>0</v>
      </c>
      <c r="G356" s="296" t="str">
        <f t="shared" si="52"/>
        <v>DE.CM-61</v>
      </c>
      <c r="H356" s="296" t="str">
        <f t="shared" ca="1" si="53"/>
        <v>DE.CM-610</v>
      </c>
    </row>
    <row r="357" spans="1:8" ht="14" x14ac:dyDescent="0.3">
      <c r="A357" s="293">
        <v>417</v>
      </c>
      <c r="B357" s="293" t="s">
        <v>1001</v>
      </c>
      <c r="C357" s="294" t="s">
        <v>1206</v>
      </c>
      <c r="D357" s="294" t="s">
        <v>230</v>
      </c>
      <c r="E357" s="294">
        <v>1</v>
      </c>
      <c r="F357" s="250">
        <f ca="1">VLOOKUP($D357,Data!$C:$I,7,FALSE)</f>
        <v>0</v>
      </c>
      <c r="G357" s="296" t="str">
        <f t="shared" si="52"/>
        <v>DE.CM-61</v>
      </c>
      <c r="H357" s="296" t="str">
        <f t="shared" ca="1" si="53"/>
        <v>DE.CM-610</v>
      </c>
    </row>
    <row r="358" spans="1:8" ht="14" x14ac:dyDescent="0.3">
      <c r="A358" s="293">
        <v>418</v>
      </c>
      <c r="B358" s="293" t="s">
        <v>1001</v>
      </c>
      <c r="C358" s="294" t="s">
        <v>1143</v>
      </c>
      <c r="D358" s="294" t="s">
        <v>232</v>
      </c>
      <c r="E358" s="294">
        <v>2</v>
      </c>
      <c r="F358" s="250">
        <f ca="1">VLOOKUP($D358,Data!$C:$I,7,FALSE)</f>
        <v>0</v>
      </c>
      <c r="G358" s="296" t="str">
        <f t="shared" si="52"/>
        <v>DE.CM-62</v>
      </c>
      <c r="H358" s="296" t="str">
        <f t="shared" ca="1" si="53"/>
        <v>DE.CM-620</v>
      </c>
    </row>
    <row r="359" spans="1:8" ht="14" x14ac:dyDescent="0.3">
      <c r="A359" s="293">
        <v>420</v>
      </c>
      <c r="B359" s="293" t="s">
        <v>1001</v>
      </c>
      <c r="C359" s="294" t="s">
        <v>1090</v>
      </c>
      <c r="D359" s="294" t="s">
        <v>309</v>
      </c>
      <c r="E359" s="294">
        <v>3</v>
      </c>
      <c r="F359" s="250">
        <f ca="1">VLOOKUP($D359,Data!$C:$I,7,FALSE)</f>
        <v>0</v>
      </c>
      <c r="G359" s="296" t="str">
        <f t="shared" si="52"/>
        <v>DE.CM-63</v>
      </c>
      <c r="H359" s="296" t="str">
        <f t="shared" ca="1" si="53"/>
        <v>DE.CM-630</v>
      </c>
    </row>
    <row r="360" spans="1:8" ht="14" x14ac:dyDescent="0.3">
      <c r="A360" s="293">
        <v>421</v>
      </c>
      <c r="B360" s="293" t="s">
        <v>1214</v>
      </c>
      <c r="C360" s="294" t="s">
        <v>1182</v>
      </c>
      <c r="D360" s="294" t="s">
        <v>229</v>
      </c>
      <c r="E360" s="294">
        <v>1</v>
      </c>
      <c r="F360" s="250">
        <f ca="1">VLOOKUP($D360,Data!$C:$I,7,FALSE)</f>
        <v>0</v>
      </c>
      <c r="G360" s="296" t="str">
        <f t="shared" si="52"/>
        <v>DE.CM-71</v>
      </c>
      <c r="H360" s="296" t="str">
        <f t="shared" ca="1" si="53"/>
        <v>DE.CM-710</v>
      </c>
    </row>
    <row r="361" spans="1:8" ht="14" x14ac:dyDescent="0.3">
      <c r="A361" s="293">
        <v>422</v>
      </c>
      <c r="B361" s="293" t="s">
        <v>1214</v>
      </c>
      <c r="C361" s="294" t="s">
        <v>1206</v>
      </c>
      <c r="D361" s="294" t="s">
        <v>230</v>
      </c>
      <c r="E361" s="294">
        <v>1</v>
      </c>
      <c r="F361" s="250">
        <f ca="1">VLOOKUP($D361,Data!$C:$I,7,FALSE)</f>
        <v>0</v>
      </c>
      <c r="G361" s="296" t="str">
        <f t="shared" si="52"/>
        <v>DE.CM-71</v>
      </c>
      <c r="H361" s="296" t="str">
        <f t="shared" ca="1" si="53"/>
        <v>DE.CM-710</v>
      </c>
    </row>
    <row r="362" spans="1:8" ht="14" x14ac:dyDescent="0.3">
      <c r="A362" s="293">
        <v>423</v>
      </c>
      <c r="B362" s="293" t="s">
        <v>1214</v>
      </c>
      <c r="C362" s="294" t="s">
        <v>1143</v>
      </c>
      <c r="D362" s="294" t="s">
        <v>232</v>
      </c>
      <c r="E362" s="294">
        <v>2</v>
      </c>
      <c r="F362" s="250">
        <f ca="1">VLOOKUP($D362,Data!$C:$I,7,FALSE)</f>
        <v>0</v>
      </c>
      <c r="G362" s="296" t="str">
        <f t="shared" si="52"/>
        <v>DE.CM-72</v>
      </c>
      <c r="H362" s="296" t="str">
        <f t="shared" ca="1" si="53"/>
        <v>DE.CM-720</v>
      </c>
    </row>
    <row r="363" spans="1:8" ht="14" x14ac:dyDescent="0.3">
      <c r="A363" s="293">
        <v>424</v>
      </c>
      <c r="B363" s="293" t="s">
        <v>1214</v>
      </c>
      <c r="C363" s="294" t="s">
        <v>1207</v>
      </c>
      <c r="D363" s="294" t="s">
        <v>234</v>
      </c>
      <c r="E363" s="294">
        <v>2</v>
      </c>
      <c r="F363" s="250">
        <f ca="1">VLOOKUP($D363,Data!$C:$I,7,FALSE)</f>
        <v>0</v>
      </c>
      <c r="G363" s="296" t="str">
        <f t="shared" si="52"/>
        <v>DE.CM-72</v>
      </c>
      <c r="H363" s="296" t="str">
        <f t="shared" ca="1" si="53"/>
        <v>DE.CM-720</v>
      </c>
    </row>
    <row r="364" spans="1:8" ht="14" x14ac:dyDescent="0.3">
      <c r="A364" s="293">
        <v>425</v>
      </c>
      <c r="B364" s="293" t="s">
        <v>1214</v>
      </c>
      <c r="C364" s="294" t="s">
        <v>1061</v>
      </c>
      <c r="D364" s="294" t="s">
        <v>189</v>
      </c>
      <c r="E364" s="294">
        <v>2</v>
      </c>
      <c r="F364" s="250">
        <f ca="1">VLOOKUP($D364,Data!$C:$I,7,FALSE)</f>
        <v>0</v>
      </c>
      <c r="G364" s="296" t="str">
        <f t="shared" si="52"/>
        <v>DE.CM-72</v>
      </c>
      <c r="H364" s="296" t="str">
        <f t="shared" ca="1" si="53"/>
        <v>DE.CM-720</v>
      </c>
    </row>
    <row r="365" spans="1:8" ht="14" x14ac:dyDescent="0.3">
      <c r="A365" s="293">
        <v>426</v>
      </c>
      <c r="B365" s="293" t="s">
        <v>1214</v>
      </c>
      <c r="C365" s="294" t="s">
        <v>1208</v>
      </c>
      <c r="D365" s="294" t="s">
        <v>235</v>
      </c>
      <c r="E365" s="294">
        <v>3</v>
      </c>
      <c r="F365" s="250">
        <f ca="1">VLOOKUP($D365,Data!$C:$I,7,FALSE)</f>
        <v>0</v>
      </c>
      <c r="G365" s="296" t="str">
        <f t="shared" si="52"/>
        <v>DE.CM-73</v>
      </c>
      <c r="H365" s="296" t="str">
        <f t="shared" ca="1" si="53"/>
        <v>DE.CM-730</v>
      </c>
    </row>
    <row r="366" spans="1:8" ht="14" x14ac:dyDescent="0.3">
      <c r="A366" s="293">
        <v>427</v>
      </c>
      <c r="B366" s="293" t="s">
        <v>1214</v>
      </c>
      <c r="C366" s="294" t="s">
        <v>1144</v>
      </c>
      <c r="D366" s="294" t="s">
        <v>236</v>
      </c>
      <c r="E366" s="294">
        <v>3</v>
      </c>
      <c r="F366" s="250">
        <f ca="1">VLOOKUP($D366,Data!$C:$I,7,FALSE)</f>
        <v>0</v>
      </c>
      <c r="G366" s="296" t="str">
        <f t="shared" si="52"/>
        <v>DE.CM-73</v>
      </c>
      <c r="H366" s="296" t="str">
        <f t="shared" ca="1" si="53"/>
        <v>DE.CM-730</v>
      </c>
    </row>
    <row r="367" spans="1:8" ht="14" x14ac:dyDescent="0.3">
      <c r="A367" s="293">
        <v>428</v>
      </c>
      <c r="B367" s="293" t="s">
        <v>1215</v>
      </c>
      <c r="C367" s="294" t="s">
        <v>1052</v>
      </c>
      <c r="D367" s="294" t="s">
        <v>202</v>
      </c>
      <c r="E367" s="294">
        <v>1</v>
      </c>
      <c r="F367" s="250">
        <f ca="1">VLOOKUP($D367,Data!$C:$I,7,FALSE)</f>
        <v>0</v>
      </c>
      <c r="G367" s="296" t="str">
        <f t="shared" si="52"/>
        <v>DE.CM-81</v>
      </c>
      <c r="H367" s="296" t="str">
        <f t="shared" ca="1" si="53"/>
        <v>DE.CM-810</v>
      </c>
    </row>
    <row r="368" spans="1:8" ht="14" x14ac:dyDescent="0.3">
      <c r="A368" s="293">
        <v>429</v>
      </c>
      <c r="B368" s="293" t="s">
        <v>1215</v>
      </c>
      <c r="C368" s="294" t="s">
        <v>1055</v>
      </c>
      <c r="D368" s="294" t="s">
        <v>210</v>
      </c>
      <c r="E368" s="294">
        <v>3</v>
      </c>
      <c r="F368" s="250">
        <f ca="1">VLOOKUP($D368,Data!$C:$I,7,FALSE)</f>
        <v>0</v>
      </c>
      <c r="G368" s="296" t="str">
        <f t="shared" si="52"/>
        <v>DE.CM-83</v>
      </c>
      <c r="H368" s="296" t="str">
        <f t="shared" ca="1" si="53"/>
        <v>DE.CM-830</v>
      </c>
    </row>
    <row r="369" spans="1:8" ht="14" x14ac:dyDescent="0.3">
      <c r="A369" s="293">
        <v>431</v>
      </c>
      <c r="B369" s="293" t="s">
        <v>1215</v>
      </c>
      <c r="C369" s="294" t="s">
        <v>1056</v>
      </c>
      <c r="D369" s="294" t="s">
        <v>212</v>
      </c>
      <c r="E369" s="294">
        <v>3</v>
      </c>
      <c r="F369" s="250">
        <f ca="1">VLOOKUP($D369,Data!$C:$I,7,FALSE)</f>
        <v>0</v>
      </c>
      <c r="G369" s="296" t="str">
        <f t="shared" si="52"/>
        <v>DE.CM-83</v>
      </c>
      <c r="H369" s="296" t="str">
        <f t="shared" ca="1" si="53"/>
        <v>DE.CM-830</v>
      </c>
    </row>
    <row r="370" spans="1:8" ht="14" x14ac:dyDescent="0.3">
      <c r="A370" s="293">
        <v>432</v>
      </c>
      <c r="B370" s="293" t="s">
        <v>1215</v>
      </c>
      <c r="C370" s="294" t="s">
        <v>1017</v>
      </c>
      <c r="D370" s="294" t="s">
        <v>65</v>
      </c>
      <c r="E370" s="294">
        <v>2</v>
      </c>
      <c r="F370" s="250">
        <f ca="1">VLOOKUP($D370,Data!$C:$I,7,FALSE)</f>
        <v>0</v>
      </c>
      <c r="G370" s="296" t="str">
        <f t="shared" si="52"/>
        <v>DE.CM-82</v>
      </c>
      <c r="H370" s="296" t="str">
        <f t="shared" ca="1" si="53"/>
        <v>DE.CM-820</v>
      </c>
    </row>
    <row r="371" spans="1:8" ht="14" x14ac:dyDescent="0.3">
      <c r="A371" s="293">
        <v>433</v>
      </c>
      <c r="B371" s="293" t="s">
        <v>1002</v>
      </c>
      <c r="C371" s="294" t="s">
        <v>1020</v>
      </c>
      <c r="D371" s="294" t="s">
        <v>319</v>
      </c>
      <c r="E371" s="294">
        <v>1</v>
      </c>
      <c r="F371" s="250">
        <f ca="1">VLOOKUP($D371,Data!$C:$I,7,FALSE)</f>
        <v>0</v>
      </c>
      <c r="G371" s="296" t="str">
        <f t="shared" si="52"/>
        <v>DE.DP-11</v>
      </c>
      <c r="H371" s="296" t="str">
        <f t="shared" ca="1" si="53"/>
        <v>DE.DP-110</v>
      </c>
    </row>
    <row r="372" spans="1:8" ht="14" x14ac:dyDescent="0.3">
      <c r="A372" s="293">
        <v>434</v>
      </c>
      <c r="B372" s="293" t="s">
        <v>1002</v>
      </c>
      <c r="C372" s="294" t="s">
        <v>1126</v>
      </c>
      <c r="D372" s="294" t="s">
        <v>322</v>
      </c>
      <c r="E372" s="294">
        <v>2</v>
      </c>
      <c r="F372" s="250">
        <f ca="1">VLOOKUP($D372,Data!$C:$I,7,FALSE)</f>
        <v>0</v>
      </c>
      <c r="G372" s="296" t="str">
        <f t="shared" si="52"/>
        <v>DE.DP-12</v>
      </c>
      <c r="H372" s="296" t="str">
        <f t="shared" ca="1" si="53"/>
        <v>DE.DP-120</v>
      </c>
    </row>
    <row r="373" spans="1:8" ht="14" x14ac:dyDescent="0.3">
      <c r="A373" s="293">
        <v>436</v>
      </c>
      <c r="B373" s="293" t="s">
        <v>1216</v>
      </c>
      <c r="C373" s="294" t="s">
        <v>1217</v>
      </c>
      <c r="D373" s="294" t="s">
        <v>257</v>
      </c>
      <c r="E373" s="294">
        <v>2</v>
      </c>
      <c r="F373" s="250">
        <f ca="1">VLOOKUP($D373,Data!$C:$I,7,FALSE)</f>
        <v>0</v>
      </c>
      <c r="G373" s="296" t="str">
        <f t="shared" si="52"/>
        <v>DE.DP-22</v>
      </c>
      <c r="H373" s="296" t="str">
        <f t="shared" ca="1" si="53"/>
        <v>DE.DP-220</v>
      </c>
    </row>
    <row r="374" spans="1:8" ht="14" x14ac:dyDescent="0.3">
      <c r="A374" s="293">
        <v>437</v>
      </c>
      <c r="B374" s="293" t="s">
        <v>1216</v>
      </c>
      <c r="C374" s="294" t="s">
        <v>1164</v>
      </c>
      <c r="D374" s="294" t="s">
        <v>283</v>
      </c>
      <c r="E374" s="294">
        <v>2</v>
      </c>
      <c r="F374" s="250">
        <f ca="1">VLOOKUP($D374,Data!$C:$I,7,FALSE)</f>
        <v>0</v>
      </c>
      <c r="G374" s="296" t="str">
        <f t="shared" si="52"/>
        <v>DE.DP-22</v>
      </c>
      <c r="H374" s="296" t="str">
        <f t="shared" ca="1" si="53"/>
        <v>DE.DP-220</v>
      </c>
    </row>
    <row r="375" spans="1:8" ht="14" x14ac:dyDescent="0.3">
      <c r="A375" s="293">
        <v>438</v>
      </c>
      <c r="B375" s="293" t="s">
        <v>1216</v>
      </c>
      <c r="C375" s="294" t="s">
        <v>1061</v>
      </c>
      <c r="D375" s="294" t="s">
        <v>189</v>
      </c>
      <c r="E375" s="294">
        <v>2</v>
      </c>
      <c r="F375" s="250">
        <f ca="1">VLOOKUP($D375,Data!$C:$I,7,FALSE)</f>
        <v>0</v>
      </c>
      <c r="G375" s="296" t="str">
        <f t="shared" si="52"/>
        <v>DE.DP-22</v>
      </c>
      <c r="H375" s="296" t="str">
        <f t="shared" ca="1" si="53"/>
        <v>DE.DP-220</v>
      </c>
    </row>
    <row r="376" spans="1:8" ht="14" x14ac:dyDescent="0.3">
      <c r="A376" s="293">
        <v>439</v>
      </c>
      <c r="B376" s="293" t="s">
        <v>1216</v>
      </c>
      <c r="C376" s="294" t="s">
        <v>1218</v>
      </c>
      <c r="D376" s="294" t="s">
        <v>260</v>
      </c>
      <c r="E376" s="294">
        <v>3</v>
      </c>
      <c r="F376" s="250">
        <f ca="1">VLOOKUP($D376,Data!$C:$I,7,FALSE)</f>
        <v>0</v>
      </c>
      <c r="G376" s="296" t="str">
        <f t="shared" si="52"/>
        <v>DE.DP-23</v>
      </c>
      <c r="H376" s="296" t="str">
        <f t="shared" ca="1" si="53"/>
        <v>DE.DP-230</v>
      </c>
    </row>
    <row r="377" spans="1:8" ht="14" x14ac:dyDescent="0.3">
      <c r="A377" s="293">
        <v>441</v>
      </c>
      <c r="B377" s="293" t="s">
        <v>1216</v>
      </c>
      <c r="C377" s="294" t="s">
        <v>1017</v>
      </c>
      <c r="D377" s="294" t="s">
        <v>65</v>
      </c>
      <c r="E377" s="294">
        <v>2</v>
      </c>
      <c r="F377" s="250">
        <f ca="1">VLOOKUP($D377,Data!$C:$I,7,FALSE)</f>
        <v>0</v>
      </c>
      <c r="G377" s="296" t="str">
        <f t="shared" si="52"/>
        <v>DE.DP-22</v>
      </c>
      <c r="H377" s="296" t="str">
        <f t="shared" ca="1" si="53"/>
        <v>DE.DP-220</v>
      </c>
    </row>
    <row r="378" spans="1:8" ht="14" x14ac:dyDescent="0.3">
      <c r="A378" s="293">
        <v>442</v>
      </c>
      <c r="B378" s="293" t="s">
        <v>1216</v>
      </c>
      <c r="C378" s="294" t="s">
        <v>1054</v>
      </c>
      <c r="D378" s="294" t="s">
        <v>48</v>
      </c>
      <c r="E378" s="294">
        <v>2</v>
      </c>
      <c r="F378" s="250">
        <f ca="1">VLOOKUP($D378,Data!$C:$I,7,FALSE)</f>
        <v>0</v>
      </c>
      <c r="G378" s="296" t="str">
        <f t="shared" si="52"/>
        <v>DE.DP-22</v>
      </c>
      <c r="H378" s="296" t="str">
        <f t="shared" ca="1" si="53"/>
        <v>DE.DP-220</v>
      </c>
    </row>
    <row r="379" spans="1:8" ht="14" x14ac:dyDescent="0.3">
      <c r="A379" s="293">
        <v>442</v>
      </c>
      <c r="B379" s="293" t="s">
        <v>1216</v>
      </c>
      <c r="C379" s="294" t="s">
        <v>1054</v>
      </c>
      <c r="D379" s="294" t="s">
        <v>61</v>
      </c>
      <c r="E379" s="295">
        <v>3</v>
      </c>
      <c r="F379" s="250">
        <f ca="1">VLOOKUP($D379,Data!$C:$I,7,FALSE)</f>
        <v>0</v>
      </c>
      <c r="G379" s="296" t="str">
        <f t="shared" si="52"/>
        <v>DE.DP-23</v>
      </c>
      <c r="H379" s="296" t="str">
        <f t="shared" ca="1" si="53"/>
        <v>DE.DP-230</v>
      </c>
    </row>
    <row r="380" spans="1:8" ht="14" x14ac:dyDescent="0.3">
      <c r="A380" s="293">
        <v>443</v>
      </c>
      <c r="B380" s="293" t="s">
        <v>1219</v>
      </c>
      <c r="C380" s="294" t="s">
        <v>1092</v>
      </c>
      <c r="D380" s="294" t="s">
        <v>276</v>
      </c>
      <c r="E380" s="294">
        <v>2</v>
      </c>
      <c r="F380" s="250">
        <f ca="1">VLOOKUP($D380,Data!$C:$I,7,FALSE)</f>
        <v>0</v>
      </c>
      <c r="G380" s="296" t="str">
        <f t="shared" si="52"/>
        <v>DE.DP-32</v>
      </c>
      <c r="H380" s="296" t="str">
        <f t="shared" ca="1" si="53"/>
        <v>DE.DP-320</v>
      </c>
    </row>
    <row r="381" spans="1:8" ht="14" x14ac:dyDescent="0.3">
      <c r="A381" s="293">
        <v>444</v>
      </c>
      <c r="B381" s="293" t="s">
        <v>1219</v>
      </c>
      <c r="C381" s="294" t="s">
        <v>1094</v>
      </c>
      <c r="D381" s="294" t="s">
        <v>279</v>
      </c>
      <c r="E381" s="294">
        <v>3</v>
      </c>
      <c r="F381" s="250">
        <f ca="1">VLOOKUP($D381,Data!$C:$I,7,FALSE)</f>
        <v>0</v>
      </c>
      <c r="G381" s="296" t="str">
        <f t="shared" si="52"/>
        <v>DE.DP-33</v>
      </c>
      <c r="H381" s="296" t="str">
        <f t="shared" ca="1" si="53"/>
        <v>DE.DP-330</v>
      </c>
    </row>
    <row r="382" spans="1:8" ht="14" x14ac:dyDescent="0.3">
      <c r="A382" s="293">
        <v>445</v>
      </c>
      <c r="B382" s="293" t="s">
        <v>1220</v>
      </c>
      <c r="C382" s="294" t="s">
        <v>1221</v>
      </c>
      <c r="D382" s="294" t="s">
        <v>256</v>
      </c>
      <c r="E382" s="294">
        <v>1</v>
      </c>
      <c r="F382" s="250">
        <f ca="1">VLOOKUP($D382,Data!$C:$I,7,FALSE)</f>
        <v>0</v>
      </c>
      <c r="G382" s="296" t="str">
        <f t="shared" si="52"/>
        <v>DE.DP-41</v>
      </c>
      <c r="H382" s="296" t="str">
        <f t="shared" ca="1" si="53"/>
        <v>DE.DP-410</v>
      </c>
    </row>
    <row r="383" spans="1:8" ht="14" x14ac:dyDescent="0.3">
      <c r="A383" s="293">
        <v>446</v>
      </c>
      <c r="B383" s="293" t="s">
        <v>1220</v>
      </c>
      <c r="C383" s="294" t="s">
        <v>1222</v>
      </c>
      <c r="D383" s="294" t="s">
        <v>273</v>
      </c>
      <c r="E383" s="294">
        <v>1</v>
      </c>
      <c r="F383" s="250">
        <f ca="1">VLOOKUP($D383,Data!$C:$I,7,FALSE)</f>
        <v>0</v>
      </c>
      <c r="G383" s="296" t="str">
        <f t="shared" si="52"/>
        <v>DE.DP-41</v>
      </c>
      <c r="H383" s="296" t="str">
        <f t="shared" ca="1" si="53"/>
        <v>DE.DP-410</v>
      </c>
    </row>
    <row r="384" spans="1:8" ht="14" x14ac:dyDescent="0.3">
      <c r="A384" s="293">
        <v>447</v>
      </c>
      <c r="B384" s="293" t="s">
        <v>1220</v>
      </c>
      <c r="C384" s="294" t="s">
        <v>967</v>
      </c>
      <c r="D384" s="294" t="s">
        <v>192</v>
      </c>
      <c r="E384" s="294">
        <v>2</v>
      </c>
      <c r="F384" s="250">
        <f ca="1">VLOOKUP($D384,Data!$C:$I,7,FALSE)</f>
        <v>0</v>
      </c>
      <c r="G384" s="296" t="str">
        <f t="shared" si="52"/>
        <v>DE.DP-42</v>
      </c>
      <c r="H384" s="296" t="str">
        <f t="shared" ca="1" si="53"/>
        <v>DE.DP-420</v>
      </c>
    </row>
    <row r="385" spans="1:8" ht="14" x14ac:dyDescent="0.3">
      <c r="A385" s="293">
        <v>448</v>
      </c>
      <c r="B385" s="293" t="s">
        <v>1220</v>
      </c>
      <c r="C385" s="294" t="s">
        <v>968</v>
      </c>
      <c r="D385" s="294" t="s">
        <v>196</v>
      </c>
      <c r="E385" s="294">
        <v>3</v>
      </c>
      <c r="F385" s="250">
        <f ca="1">VLOOKUP($D385,Data!$C:$I,7,FALSE)</f>
        <v>0</v>
      </c>
      <c r="G385" s="296" t="str">
        <f t="shared" si="52"/>
        <v>DE.DP-43</v>
      </c>
      <c r="H385" s="296" t="str">
        <f t="shared" ca="1" si="53"/>
        <v>DE.DP-430</v>
      </c>
    </row>
    <row r="386" spans="1:8" ht="14" x14ac:dyDescent="0.3">
      <c r="A386" s="293">
        <v>449</v>
      </c>
      <c r="B386" s="293" t="s">
        <v>1220</v>
      </c>
      <c r="C386" s="294" t="s">
        <v>969</v>
      </c>
      <c r="D386" s="294" t="s">
        <v>196</v>
      </c>
      <c r="E386" s="294">
        <v>3</v>
      </c>
      <c r="F386" s="250">
        <f ca="1">VLOOKUP($D386,Data!$C:$I,7,FALSE)</f>
        <v>0</v>
      </c>
      <c r="G386" s="296" t="str">
        <f t="shared" ref="G386:G449" si="54">CONCATENATE($B386,$E386)</f>
        <v>DE.DP-43</v>
      </c>
      <c r="H386" s="296" t="str">
        <f t="shared" ref="H386:H449" ca="1" si="55">_xlfn.IFNA(CONCATENATE($B386,$E386,$F386),CONCATENATE($B386,$E386,0))</f>
        <v>DE.DP-430</v>
      </c>
    </row>
    <row r="387" spans="1:8" ht="14" x14ac:dyDescent="0.3">
      <c r="A387" s="293">
        <v>453</v>
      </c>
      <c r="B387" s="293" t="s">
        <v>1223</v>
      </c>
      <c r="C387" s="294" t="s">
        <v>1195</v>
      </c>
      <c r="D387" s="294" t="s">
        <v>277</v>
      </c>
      <c r="E387" s="294">
        <v>3</v>
      </c>
      <c r="F387" s="250">
        <f ca="1">VLOOKUP($D387,Data!$C:$I,7,FALSE)</f>
        <v>0</v>
      </c>
      <c r="G387" s="296" t="str">
        <f t="shared" si="54"/>
        <v>DE.DP-53</v>
      </c>
      <c r="H387" s="296" t="str">
        <f t="shared" ca="1" si="55"/>
        <v>DE.DP-530</v>
      </c>
    </row>
    <row r="388" spans="1:8" ht="14" x14ac:dyDescent="0.3">
      <c r="A388" s="293">
        <v>455</v>
      </c>
      <c r="B388" s="293" t="s">
        <v>1224</v>
      </c>
      <c r="C388" s="294" t="s">
        <v>1225</v>
      </c>
      <c r="D388" s="294" t="s">
        <v>274</v>
      </c>
      <c r="E388" s="294">
        <v>2</v>
      </c>
      <c r="F388" s="250">
        <f ca="1">VLOOKUP($D388,Data!$C:$I,7,FALSE)</f>
        <v>0</v>
      </c>
      <c r="G388" s="296" t="str">
        <f t="shared" si="54"/>
        <v>RS.RP-12</v>
      </c>
      <c r="H388" s="296" t="str">
        <f t="shared" ca="1" si="55"/>
        <v>RS.RP-120</v>
      </c>
    </row>
    <row r="389" spans="1:8" ht="14" x14ac:dyDescent="0.3">
      <c r="A389" s="293">
        <v>456</v>
      </c>
      <c r="B389" s="293" t="s">
        <v>1226</v>
      </c>
      <c r="C389" s="294" t="s">
        <v>1227</v>
      </c>
      <c r="D389" s="294" t="s">
        <v>271</v>
      </c>
      <c r="E389" s="294">
        <v>1</v>
      </c>
      <c r="F389" s="250">
        <f ca="1">VLOOKUP($D389,Data!$C:$I,7,FALSE)</f>
        <v>0</v>
      </c>
      <c r="G389" s="296" t="str">
        <f t="shared" si="54"/>
        <v>RS.CO-11</v>
      </c>
      <c r="H389" s="296" t="str">
        <f t="shared" ca="1" si="55"/>
        <v>RS.CO-110</v>
      </c>
    </row>
    <row r="390" spans="1:8" ht="14" x14ac:dyDescent="0.3">
      <c r="A390" s="293">
        <v>459</v>
      </c>
      <c r="B390" s="293" t="s">
        <v>1228</v>
      </c>
      <c r="C390" s="294" t="s">
        <v>1221</v>
      </c>
      <c r="D390" s="294" t="s">
        <v>256</v>
      </c>
      <c r="E390" s="294">
        <v>1</v>
      </c>
      <c r="F390" s="250">
        <f ca="1">VLOOKUP($D390,Data!$C:$I,7,FALSE)</f>
        <v>0</v>
      </c>
      <c r="G390" s="296" t="str">
        <f t="shared" si="54"/>
        <v>RS.CO-21</v>
      </c>
      <c r="H390" s="296" t="str">
        <f t="shared" ca="1" si="55"/>
        <v>RS.CO-210</v>
      </c>
    </row>
    <row r="391" spans="1:8" ht="14" x14ac:dyDescent="0.3">
      <c r="A391" s="293">
        <v>460</v>
      </c>
      <c r="B391" s="293" t="s">
        <v>1229</v>
      </c>
      <c r="C391" s="294" t="s">
        <v>967</v>
      </c>
      <c r="D391" s="294" t="s">
        <v>192</v>
      </c>
      <c r="E391" s="294">
        <v>2</v>
      </c>
      <c r="F391" s="250">
        <f ca="1">VLOOKUP($D391,Data!$C:$I,7,FALSE)</f>
        <v>0</v>
      </c>
      <c r="G391" s="296" t="str">
        <f t="shared" si="54"/>
        <v>RS.CO-32</v>
      </c>
      <c r="H391" s="296" t="str">
        <f t="shared" ca="1" si="55"/>
        <v>RS.CO-320</v>
      </c>
    </row>
    <row r="392" spans="1:8" ht="14" x14ac:dyDescent="0.3">
      <c r="A392" s="293">
        <v>462</v>
      </c>
      <c r="B392" s="293" t="s">
        <v>1229</v>
      </c>
      <c r="C392" s="294" t="s">
        <v>968</v>
      </c>
      <c r="D392" s="294" t="s">
        <v>196</v>
      </c>
      <c r="E392" s="294">
        <v>3</v>
      </c>
      <c r="F392" s="250">
        <f ca="1">VLOOKUP($D392,Data!$C:$I,7,FALSE)</f>
        <v>0</v>
      </c>
      <c r="G392" s="296" t="str">
        <f t="shared" si="54"/>
        <v>RS.CO-33</v>
      </c>
      <c r="H392" s="296" t="str">
        <f t="shared" ca="1" si="55"/>
        <v>RS.CO-330</v>
      </c>
    </row>
    <row r="393" spans="1:8" ht="14" x14ac:dyDescent="0.3">
      <c r="A393" s="293">
        <v>463</v>
      </c>
      <c r="B393" s="293" t="s">
        <v>1229</v>
      </c>
      <c r="C393" s="294" t="s">
        <v>1225</v>
      </c>
      <c r="D393" s="294" t="s">
        <v>274</v>
      </c>
      <c r="E393" s="294">
        <v>2</v>
      </c>
      <c r="F393" s="250">
        <f ca="1">VLOOKUP($D393,Data!$C:$I,7,FALSE)</f>
        <v>0</v>
      </c>
      <c r="G393" s="296" t="str">
        <f t="shared" si="54"/>
        <v>RS.CO-32</v>
      </c>
      <c r="H393" s="296" t="str">
        <f t="shared" ca="1" si="55"/>
        <v>RS.CO-320</v>
      </c>
    </row>
    <row r="394" spans="1:8" ht="14" x14ac:dyDescent="0.3">
      <c r="A394" s="293">
        <v>464</v>
      </c>
      <c r="B394" s="293" t="s">
        <v>1229</v>
      </c>
      <c r="C394" s="294" t="s">
        <v>969</v>
      </c>
      <c r="D394" s="294" t="s">
        <v>196</v>
      </c>
      <c r="E394" s="294">
        <v>3</v>
      </c>
      <c r="F394" s="250">
        <f ca="1">VLOOKUP($D394,Data!$C:$I,7,FALSE)</f>
        <v>0</v>
      </c>
      <c r="G394" s="296" t="str">
        <f t="shared" si="54"/>
        <v>RS.CO-33</v>
      </c>
      <c r="H394" s="296" t="str">
        <f t="shared" ca="1" si="55"/>
        <v>RS.CO-330</v>
      </c>
    </row>
    <row r="395" spans="1:8" ht="14" x14ac:dyDescent="0.3">
      <c r="A395" s="293">
        <v>465</v>
      </c>
      <c r="B395" s="293" t="s">
        <v>1229</v>
      </c>
      <c r="C395" s="294" t="s">
        <v>1230</v>
      </c>
      <c r="D395" s="294" t="s">
        <v>278</v>
      </c>
      <c r="E395" s="294">
        <v>3</v>
      </c>
      <c r="F395" s="250">
        <f ca="1">VLOOKUP($D395,Data!$C:$I,7,FALSE)</f>
        <v>0</v>
      </c>
      <c r="G395" s="296" t="str">
        <f t="shared" si="54"/>
        <v>RS.CO-33</v>
      </c>
      <c r="H395" s="296" t="str">
        <f t="shared" ca="1" si="55"/>
        <v>RS.CO-330</v>
      </c>
    </row>
    <row r="396" spans="1:8" ht="14" x14ac:dyDescent="0.3">
      <c r="A396" s="293">
        <v>467</v>
      </c>
      <c r="B396" s="293" t="s">
        <v>1231</v>
      </c>
      <c r="C396" s="294" t="s">
        <v>1225</v>
      </c>
      <c r="D396" s="294" t="s">
        <v>274</v>
      </c>
      <c r="E396" s="294">
        <v>2</v>
      </c>
      <c r="F396" s="250">
        <f ca="1">VLOOKUP($D396,Data!$C:$I,7,FALSE)</f>
        <v>0</v>
      </c>
      <c r="G396" s="296" t="str">
        <f t="shared" si="54"/>
        <v>RS.CO-42</v>
      </c>
      <c r="H396" s="296" t="str">
        <f t="shared" ca="1" si="55"/>
        <v>RS.CO-420</v>
      </c>
    </row>
    <row r="397" spans="1:8" ht="14" x14ac:dyDescent="0.3">
      <c r="A397" s="293">
        <v>469</v>
      </c>
      <c r="B397" s="293" t="s">
        <v>1232</v>
      </c>
      <c r="C397" s="294" t="s">
        <v>967</v>
      </c>
      <c r="D397" s="294" t="s">
        <v>192</v>
      </c>
      <c r="E397" s="294">
        <v>2</v>
      </c>
      <c r="F397" s="250">
        <f ca="1">VLOOKUP($D397,Data!$C:$I,7,FALSE)</f>
        <v>0</v>
      </c>
      <c r="G397" s="296" t="str">
        <f t="shared" si="54"/>
        <v>RS.CO-52</v>
      </c>
      <c r="H397" s="296" t="str">
        <f t="shared" ca="1" si="55"/>
        <v>RS.CO-520</v>
      </c>
    </row>
    <row r="398" spans="1:8" ht="14" x14ac:dyDescent="0.3">
      <c r="A398" s="293">
        <v>470</v>
      </c>
      <c r="B398" s="293" t="s">
        <v>1232</v>
      </c>
      <c r="C398" s="294" t="s">
        <v>968</v>
      </c>
      <c r="D398" s="294" t="s">
        <v>196</v>
      </c>
      <c r="E398" s="294">
        <v>3</v>
      </c>
      <c r="F398" s="250">
        <f ca="1">VLOOKUP($D398,Data!$C:$I,7,FALSE)</f>
        <v>0</v>
      </c>
      <c r="G398" s="296" t="str">
        <f t="shared" si="54"/>
        <v>RS.CO-53</v>
      </c>
      <c r="H398" s="296" t="str">
        <f t="shared" ca="1" si="55"/>
        <v>RS.CO-530</v>
      </c>
    </row>
    <row r="399" spans="1:8" ht="14" x14ac:dyDescent="0.3">
      <c r="A399" s="293">
        <v>471</v>
      </c>
      <c r="B399" s="293" t="s">
        <v>1232</v>
      </c>
      <c r="C399" s="294" t="s">
        <v>969</v>
      </c>
      <c r="D399" s="294" t="s">
        <v>196</v>
      </c>
      <c r="E399" s="294">
        <v>3</v>
      </c>
      <c r="F399" s="250">
        <f ca="1">VLOOKUP($D399,Data!$C:$I,7,FALSE)</f>
        <v>0</v>
      </c>
      <c r="G399" s="296" t="str">
        <f t="shared" si="54"/>
        <v>RS.CO-53</v>
      </c>
      <c r="H399" s="296" t="str">
        <f t="shared" ca="1" si="55"/>
        <v>RS.CO-530</v>
      </c>
    </row>
    <row r="400" spans="1:8" ht="14" x14ac:dyDescent="0.3">
      <c r="A400" s="293">
        <v>472</v>
      </c>
      <c r="B400" s="293" t="s">
        <v>1232</v>
      </c>
      <c r="C400" s="294" t="s">
        <v>970</v>
      </c>
      <c r="D400" s="294" t="s">
        <v>200</v>
      </c>
      <c r="E400" s="294">
        <v>1</v>
      </c>
      <c r="F400" s="250">
        <f ca="1">VLOOKUP($D400,Data!$C:$I,7,FALSE)</f>
        <v>0</v>
      </c>
      <c r="G400" s="296" t="str">
        <f t="shared" si="54"/>
        <v>RS.CO-51</v>
      </c>
      <c r="H400" s="296" t="str">
        <f t="shared" ca="1" si="55"/>
        <v>RS.CO-510</v>
      </c>
    </row>
    <row r="401" spans="1:8" ht="14" x14ac:dyDescent="0.3">
      <c r="A401" s="293">
        <v>479</v>
      </c>
      <c r="B401" s="293" t="s">
        <v>1233</v>
      </c>
      <c r="C401" s="294" t="s">
        <v>1197</v>
      </c>
      <c r="D401" s="294" t="s">
        <v>258</v>
      </c>
      <c r="E401" s="294">
        <v>2</v>
      </c>
      <c r="F401" s="250">
        <f ca="1">VLOOKUP($D401,Data!$C:$I,7,FALSE)</f>
        <v>0</v>
      </c>
      <c r="G401" s="296" t="str">
        <f t="shared" si="54"/>
        <v>RS.AN-12</v>
      </c>
      <c r="H401" s="296" t="str">
        <f t="shared" ca="1" si="55"/>
        <v>RS.AN-120</v>
      </c>
    </row>
    <row r="402" spans="1:8" ht="14" x14ac:dyDescent="0.3">
      <c r="A402" s="293">
        <v>480</v>
      </c>
      <c r="B402" s="293" t="s">
        <v>1233</v>
      </c>
      <c r="C402" s="294" t="s">
        <v>1193</v>
      </c>
      <c r="D402" s="294" t="s">
        <v>259</v>
      </c>
      <c r="E402" s="294">
        <v>3</v>
      </c>
      <c r="F402" s="250">
        <f ca="1">VLOOKUP($D402,Data!$C:$I,7,FALSE)</f>
        <v>0</v>
      </c>
      <c r="G402" s="296" t="str">
        <f t="shared" si="54"/>
        <v>RS.AN-13</v>
      </c>
      <c r="H402" s="296" t="str">
        <f t="shared" ca="1" si="55"/>
        <v>RS.AN-130</v>
      </c>
    </row>
    <row r="403" spans="1:8" ht="14" x14ac:dyDescent="0.3">
      <c r="A403" s="293">
        <v>481</v>
      </c>
      <c r="B403" s="293" t="s">
        <v>1234</v>
      </c>
      <c r="C403" s="294" t="s">
        <v>1200</v>
      </c>
      <c r="D403" s="294" t="s">
        <v>264</v>
      </c>
      <c r="E403" s="294">
        <v>2</v>
      </c>
      <c r="F403" s="250">
        <f ca="1">VLOOKUP($D403,Data!$C:$I,7,FALSE)</f>
        <v>0</v>
      </c>
      <c r="G403" s="296" t="str">
        <f t="shared" si="54"/>
        <v>RS.AN-22</v>
      </c>
      <c r="H403" s="296" t="str">
        <f t="shared" ca="1" si="55"/>
        <v>RS.AN-220</v>
      </c>
    </row>
    <row r="404" spans="1:8" ht="14" x14ac:dyDescent="0.3">
      <c r="A404" s="293">
        <v>482</v>
      </c>
      <c r="B404" s="293" t="s">
        <v>1234</v>
      </c>
      <c r="C404" s="294" t="s">
        <v>1061</v>
      </c>
      <c r="D404" s="294" t="s">
        <v>189</v>
      </c>
      <c r="E404" s="294">
        <v>2</v>
      </c>
      <c r="F404" s="250">
        <f ca="1">VLOOKUP($D404,Data!$C:$I,7,FALSE)</f>
        <v>0</v>
      </c>
      <c r="G404" s="296" t="str">
        <f t="shared" si="54"/>
        <v>RS.AN-22</v>
      </c>
      <c r="H404" s="296" t="str">
        <f t="shared" ca="1" si="55"/>
        <v>RS.AN-220</v>
      </c>
    </row>
    <row r="405" spans="1:8" ht="14" x14ac:dyDescent="0.3">
      <c r="A405" s="293">
        <v>483</v>
      </c>
      <c r="B405" s="293" t="s">
        <v>1234</v>
      </c>
      <c r="C405" s="294" t="s">
        <v>1201</v>
      </c>
      <c r="D405" s="294" t="s">
        <v>269</v>
      </c>
      <c r="E405" s="294">
        <v>3</v>
      </c>
      <c r="F405" s="250">
        <f ca="1">VLOOKUP($D405,Data!$C:$I,7,FALSE)</f>
        <v>0</v>
      </c>
      <c r="G405" s="296" t="str">
        <f t="shared" si="54"/>
        <v>RS.AN-23</v>
      </c>
      <c r="H405" s="296" t="str">
        <f t="shared" ca="1" si="55"/>
        <v>RS.AN-230</v>
      </c>
    </row>
    <row r="406" spans="1:8" ht="14" x14ac:dyDescent="0.3">
      <c r="A406" s="293">
        <v>484</v>
      </c>
      <c r="B406" s="293" t="s">
        <v>1234</v>
      </c>
      <c r="C406" s="294" t="s">
        <v>1054</v>
      </c>
      <c r="D406" s="294" t="s">
        <v>48</v>
      </c>
      <c r="E406" s="294">
        <v>2</v>
      </c>
      <c r="F406" s="250">
        <f ca="1">VLOOKUP($D406,Data!$C:$I,7,FALSE)</f>
        <v>0</v>
      </c>
      <c r="G406" s="296" t="str">
        <f t="shared" si="54"/>
        <v>RS.AN-22</v>
      </c>
      <c r="H406" s="296" t="str">
        <f t="shared" ca="1" si="55"/>
        <v>RS.AN-220</v>
      </c>
    </row>
    <row r="407" spans="1:8" ht="14" x14ac:dyDescent="0.3">
      <c r="A407" s="293">
        <v>484</v>
      </c>
      <c r="B407" s="293" t="s">
        <v>1234</v>
      </c>
      <c r="C407" s="294" t="s">
        <v>1054</v>
      </c>
      <c r="D407" s="294" t="s">
        <v>61</v>
      </c>
      <c r="E407" s="295">
        <v>3</v>
      </c>
      <c r="F407" s="250">
        <f ca="1">VLOOKUP($D407,Data!$C:$I,7,FALSE)</f>
        <v>0</v>
      </c>
      <c r="G407" s="296" t="str">
        <f t="shared" si="54"/>
        <v>RS.AN-23</v>
      </c>
      <c r="H407" s="296" t="str">
        <f t="shared" ca="1" si="55"/>
        <v>RS.AN-230</v>
      </c>
    </row>
    <row r="408" spans="1:8" ht="14" x14ac:dyDescent="0.3">
      <c r="A408" s="293">
        <v>485</v>
      </c>
      <c r="B408" s="293" t="s">
        <v>1235</v>
      </c>
      <c r="C408" s="294" t="s">
        <v>1225</v>
      </c>
      <c r="D408" s="294" t="s">
        <v>274</v>
      </c>
      <c r="E408" s="294">
        <v>2</v>
      </c>
      <c r="F408" s="250">
        <f ca="1">VLOOKUP($D408,Data!$C:$I,7,FALSE)</f>
        <v>0</v>
      </c>
      <c r="G408" s="296" t="str">
        <f t="shared" si="54"/>
        <v>RS.AN-32</v>
      </c>
      <c r="H408" s="296" t="str">
        <f t="shared" ca="1" si="55"/>
        <v>RS.AN-320</v>
      </c>
    </row>
    <row r="409" spans="1:8" ht="14" x14ac:dyDescent="0.3">
      <c r="A409" s="293">
        <v>486</v>
      </c>
      <c r="B409" s="293" t="s">
        <v>1235</v>
      </c>
      <c r="C409" s="294" t="s">
        <v>1195</v>
      </c>
      <c r="D409" s="294" t="s">
        <v>277</v>
      </c>
      <c r="E409" s="294">
        <v>3</v>
      </c>
      <c r="F409" s="250">
        <f ca="1">VLOOKUP($D409,Data!$C:$I,7,FALSE)</f>
        <v>0</v>
      </c>
      <c r="G409" s="296" t="str">
        <f t="shared" si="54"/>
        <v>RS.AN-33</v>
      </c>
      <c r="H409" s="296" t="str">
        <f t="shared" ca="1" si="55"/>
        <v>RS.AN-330</v>
      </c>
    </row>
    <row r="410" spans="1:8" ht="14" x14ac:dyDescent="0.3">
      <c r="A410" s="293">
        <v>487</v>
      </c>
      <c r="B410" s="293" t="s">
        <v>1235</v>
      </c>
      <c r="C410" s="294" t="s">
        <v>1230</v>
      </c>
      <c r="D410" s="294" t="s">
        <v>278</v>
      </c>
      <c r="E410" s="294">
        <v>3</v>
      </c>
      <c r="F410" s="250">
        <f ca="1">VLOOKUP($D410,Data!$C:$I,7,FALSE)</f>
        <v>0</v>
      </c>
      <c r="G410" s="296" t="str">
        <f t="shared" si="54"/>
        <v>RS.AN-33</v>
      </c>
      <c r="H410" s="296" t="str">
        <f t="shared" ca="1" si="55"/>
        <v>RS.AN-330</v>
      </c>
    </row>
    <row r="411" spans="1:8" ht="14" x14ac:dyDescent="0.3">
      <c r="A411" s="293">
        <v>488</v>
      </c>
      <c r="B411" s="293" t="s">
        <v>1236</v>
      </c>
      <c r="C411" s="294" t="s">
        <v>1203</v>
      </c>
      <c r="D411" s="294" t="s">
        <v>262</v>
      </c>
      <c r="E411" s="294">
        <v>1</v>
      </c>
      <c r="F411" s="250">
        <f ca="1">VLOOKUP($D411,Data!$C:$I,7,FALSE)</f>
        <v>0</v>
      </c>
      <c r="G411" s="296" t="str">
        <f t="shared" si="54"/>
        <v>RS.AN-41</v>
      </c>
      <c r="H411" s="296" t="str">
        <f t="shared" ca="1" si="55"/>
        <v>RS.AN-410</v>
      </c>
    </row>
    <row r="412" spans="1:8" ht="14" x14ac:dyDescent="0.3">
      <c r="A412" s="293">
        <v>489</v>
      </c>
      <c r="B412" s="293" t="s">
        <v>1236</v>
      </c>
      <c r="C412" s="294" t="s">
        <v>1217</v>
      </c>
      <c r="D412" s="294" t="s">
        <v>257</v>
      </c>
      <c r="E412" s="294">
        <v>2</v>
      </c>
      <c r="F412" s="250">
        <f ca="1">VLOOKUP($D412,Data!$C:$I,7,FALSE)</f>
        <v>0</v>
      </c>
      <c r="G412" s="296" t="str">
        <f t="shared" si="54"/>
        <v>RS.AN-42</v>
      </c>
      <c r="H412" s="296" t="str">
        <f t="shared" ca="1" si="55"/>
        <v>RS.AN-420</v>
      </c>
    </row>
    <row r="413" spans="1:8" ht="14" x14ac:dyDescent="0.3">
      <c r="A413" s="293">
        <v>490</v>
      </c>
      <c r="B413" s="293" t="s">
        <v>1236</v>
      </c>
      <c r="C413" s="294" t="s">
        <v>1197</v>
      </c>
      <c r="D413" s="294" t="s">
        <v>258</v>
      </c>
      <c r="E413" s="294">
        <v>2</v>
      </c>
      <c r="F413" s="250">
        <f ca="1">VLOOKUP($D413,Data!$C:$I,7,FALSE)</f>
        <v>0</v>
      </c>
      <c r="G413" s="296" t="str">
        <f t="shared" si="54"/>
        <v>RS.AN-42</v>
      </c>
      <c r="H413" s="296" t="str">
        <f t="shared" ca="1" si="55"/>
        <v>RS.AN-420</v>
      </c>
    </row>
    <row r="414" spans="1:8" ht="14" x14ac:dyDescent="0.3">
      <c r="A414" s="293">
        <v>491</v>
      </c>
      <c r="B414" s="293" t="s">
        <v>1237</v>
      </c>
      <c r="C414" s="294" t="s">
        <v>1049</v>
      </c>
      <c r="D414" s="294" t="s">
        <v>200</v>
      </c>
      <c r="E414" s="294">
        <v>1</v>
      </c>
      <c r="F414" s="250">
        <f ca="1">VLOOKUP($D414,Data!$C:$I,7,FALSE)</f>
        <v>0</v>
      </c>
      <c r="G414" s="296" t="str">
        <f t="shared" si="54"/>
        <v>RS.AN-51</v>
      </c>
      <c r="H414" s="296" t="str">
        <f t="shared" ca="1" si="55"/>
        <v>RS.AN-510</v>
      </c>
    </row>
    <row r="415" spans="1:8" ht="14" x14ac:dyDescent="0.3">
      <c r="A415" s="293">
        <v>492</v>
      </c>
      <c r="B415" s="293" t="s">
        <v>1237</v>
      </c>
      <c r="C415" s="294" t="s">
        <v>1050</v>
      </c>
      <c r="D415" s="294" t="s">
        <v>201</v>
      </c>
      <c r="E415" s="294">
        <v>1</v>
      </c>
      <c r="F415" s="250">
        <f ca="1">VLOOKUP($D415,Data!$C:$I,7,FALSE)</f>
        <v>0</v>
      </c>
      <c r="G415" s="296" t="str">
        <f t="shared" si="54"/>
        <v>RS.AN-51</v>
      </c>
      <c r="H415" s="296" t="str">
        <f t="shared" ca="1" si="55"/>
        <v>RS.AN-510</v>
      </c>
    </row>
    <row r="416" spans="1:8" ht="14" x14ac:dyDescent="0.3">
      <c r="A416" s="293">
        <v>493</v>
      </c>
      <c r="B416" s="293" t="s">
        <v>1237</v>
      </c>
      <c r="C416" s="294" t="s">
        <v>1129</v>
      </c>
      <c r="D416" s="294" t="s">
        <v>203</v>
      </c>
      <c r="E416" s="294">
        <v>1</v>
      </c>
      <c r="F416" s="250">
        <f ca="1">VLOOKUP($D416,Data!$C:$I,7,FALSE)</f>
        <v>0</v>
      </c>
      <c r="G416" s="296" t="str">
        <f t="shared" si="54"/>
        <v>RS.AN-51</v>
      </c>
      <c r="H416" s="296" t="str">
        <f t="shared" ca="1" si="55"/>
        <v>RS.AN-510</v>
      </c>
    </row>
    <row r="417" spans="1:8" ht="14" x14ac:dyDescent="0.3">
      <c r="A417" s="293">
        <v>494</v>
      </c>
      <c r="B417" s="293" t="s">
        <v>1237</v>
      </c>
      <c r="C417" s="294" t="s">
        <v>1051</v>
      </c>
      <c r="D417" s="294" t="s">
        <v>204</v>
      </c>
      <c r="E417" s="294">
        <v>2</v>
      </c>
      <c r="F417" s="250">
        <f ca="1">VLOOKUP($D417,Data!$C:$I,7,FALSE)</f>
        <v>0</v>
      </c>
      <c r="G417" s="296" t="str">
        <f t="shared" si="54"/>
        <v>RS.AN-52</v>
      </c>
      <c r="H417" s="296" t="str">
        <f t="shared" ca="1" si="55"/>
        <v>RS.AN-520</v>
      </c>
    </row>
    <row r="418" spans="1:8" ht="14" x14ac:dyDescent="0.3">
      <c r="A418" s="293">
        <v>495</v>
      </c>
      <c r="B418" s="293" t="s">
        <v>1237</v>
      </c>
      <c r="C418" s="294" t="s">
        <v>1052</v>
      </c>
      <c r="D418" s="294" t="s">
        <v>202</v>
      </c>
      <c r="E418" s="294">
        <v>1</v>
      </c>
      <c r="F418" s="250">
        <f ca="1">VLOOKUP($D418,Data!$C:$I,7,FALSE)</f>
        <v>0</v>
      </c>
      <c r="G418" s="296" t="str">
        <f t="shared" si="54"/>
        <v>RS.AN-51</v>
      </c>
      <c r="H418" s="296" t="str">
        <f t="shared" ca="1" si="55"/>
        <v>RS.AN-510</v>
      </c>
    </row>
    <row r="419" spans="1:8" ht="14" x14ac:dyDescent="0.3">
      <c r="A419" s="293">
        <v>496</v>
      </c>
      <c r="B419" s="293" t="s">
        <v>1237</v>
      </c>
      <c r="C419" s="294" t="s">
        <v>1053</v>
      </c>
      <c r="D419" s="294" t="s">
        <v>206</v>
      </c>
      <c r="E419" s="294">
        <v>2</v>
      </c>
      <c r="F419" s="250">
        <f ca="1">VLOOKUP($D419,Data!$C:$I,7,FALSE)</f>
        <v>0</v>
      </c>
      <c r="G419" s="296" t="str">
        <f t="shared" si="54"/>
        <v>RS.AN-52</v>
      </c>
      <c r="H419" s="296" t="str">
        <f t="shared" ca="1" si="55"/>
        <v>RS.AN-520</v>
      </c>
    </row>
    <row r="420" spans="1:8" ht="14" x14ac:dyDescent="0.3">
      <c r="A420" s="293">
        <v>498</v>
      </c>
      <c r="B420" s="293" t="s">
        <v>1237</v>
      </c>
      <c r="C420" s="294" t="s">
        <v>1238</v>
      </c>
      <c r="D420" s="294" t="s">
        <v>207</v>
      </c>
      <c r="E420" s="294">
        <v>2</v>
      </c>
      <c r="F420" s="250">
        <f ca="1">VLOOKUP($D420,Data!$C:$I,7,FALSE)</f>
        <v>0</v>
      </c>
      <c r="G420" s="296" t="str">
        <f t="shared" si="54"/>
        <v>RS.AN-52</v>
      </c>
      <c r="H420" s="296" t="str">
        <f t="shared" ca="1" si="55"/>
        <v>RS.AN-520</v>
      </c>
    </row>
    <row r="421" spans="1:8" ht="14" x14ac:dyDescent="0.3">
      <c r="A421" s="293">
        <v>499</v>
      </c>
      <c r="B421" s="293" t="s">
        <v>1237</v>
      </c>
      <c r="C421" s="294" t="s">
        <v>1055</v>
      </c>
      <c r="D421" s="294" t="s">
        <v>210</v>
      </c>
      <c r="E421" s="294">
        <v>3</v>
      </c>
      <c r="F421" s="250">
        <f ca="1">VLOOKUP($D421,Data!$C:$I,7,FALSE)</f>
        <v>0</v>
      </c>
      <c r="G421" s="296" t="str">
        <f t="shared" si="54"/>
        <v>RS.AN-53</v>
      </c>
      <c r="H421" s="296" t="str">
        <f t="shared" ca="1" si="55"/>
        <v>RS.AN-530</v>
      </c>
    </row>
    <row r="422" spans="1:8" ht="14" x14ac:dyDescent="0.3">
      <c r="A422" s="293">
        <v>501</v>
      </c>
      <c r="B422" s="293" t="s">
        <v>1237</v>
      </c>
      <c r="C422" s="294" t="s">
        <v>1056</v>
      </c>
      <c r="D422" s="294" t="s">
        <v>212</v>
      </c>
      <c r="E422" s="294">
        <v>3</v>
      </c>
      <c r="F422" s="250">
        <f ca="1">VLOOKUP($D422,Data!$C:$I,7,FALSE)</f>
        <v>0</v>
      </c>
      <c r="G422" s="296" t="str">
        <f t="shared" si="54"/>
        <v>RS.AN-53</v>
      </c>
      <c r="H422" s="296" t="str">
        <f t="shared" ca="1" si="55"/>
        <v>RS.AN-530</v>
      </c>
    </row>
    <row r="423" spans="1:8" ht="14" x14ac:dyDescent="0.3">
      <c r="A423" s="293">
        <v>504</v>
      </c>
      <c r="B423" s="293" t="s">
        <v>1237</v>
      </c>
      <c r="C423" s="294" t="s">
        <v>1141</v>
      </c>
      <c r="D423" s="294" t="s">
        <v>216</v>
      </c>
      <c r="E423" s="294">
        <v>3</v>
      </c>
      <c r="F423" s="250">
        <f ca="1">VLOOKUP($D423,Data!$C:$I,7,FALSE)</f>
        <v>0</v>
      </c>
      <c r="G423" s="296" t="str">
        <f t="shared" si="54"/>
        <v>RS.AN-53</v>
      </c>
      <c r="H423" s="296" t="str">
        <f t="shared" ca="1" si="55"/>
        <v>RS.AN-530</v>
      </c>
    </row>
    <row r="424" spans="1:8" ht="14" x14ac:dyDescent="0.3">
      <c r="A424" s="293">
        <v>505</v>
      </c>
      <c r="B424" s="293" t="s">
        <v>1239</v>
      </c>
      <c r="C424" s="294" t="s">
        <v>1240</v>
      </c>
      <c r="D424" s="294" t="s">
        <v>272</v>
      </c>
      <c r="E424" s="294">
        <v>1</v>
      </c>
      <c r="F424" s="250">
        <f ca="1">VLOOKUP($D424,Data!$C:$I,7,FALSE)</f>
        <v>0</v>
      </c>
      <c r="G424" s="296" t="str">
        <f t="shared" si="54"/>
        <v>RS.MI-11</v>
      </c>
      <c r="H424" s="296" t="str">
        <f t="shared" ca="1" si="55"/>
        <v>RS.MI-110</v>
      </c>
    </row>
    <row r="425" spans="1:8" ht="14" x14ac:dyDescent="0.3">
      <c r="A425" s="293">
        <v>506</v>
      </c>
      <c r="B425" s="293" t="s">
        <v>1241</v>
      </c>
      <c r="C425" s="294" t="s">
        <v>1240</v>
      </c>
      <c r="D425" s="294" t="s">
        <v>272</v>
      </c>
      <c r="E425" s="294">
        <v>1</v>
      </c>
      <c r="F425" s="250">
        <f ca="1">VLOOKUP($D425,Data!$C:$I,7,FALSE)</f>
        <v>0</v>
      </c>
      <c r="G425" s="296" t="str">
        <f t="shared" si="54"/>
        <v>RS.MI-21</v>
      </c>
      <c r="H425" s="296" t="str">
        <f t="shared" ca="1" si="55"/>
        <v>RS.MI-210</v>
      </c>
    </row>
    <row r="426" spans="1:8" ht="14" x14ac:dyDescent="0.3">
      <c r="A426" s="293">
        <v>507</v>
      </c>
      <c r="B426" s="293" t="s">
        <v>1242</v>
      </c>
      <c r="C426" s="294" t="s">
        <v>1129</v>
      </c>
      <c r="D426" s="294" t="s">
        <v>203</v>
      </c>
      <c r="E426" s="294">
        <v>1</v>
      </c>
      <c r="F426" s="250">
        <f ca="1">VLOOKUP($D426,Data!$C:$I,7,FALSE)</f>
        <v>0</v>
      </c>
      <c r="G426" s="296" t="str">
        <f t="shared" si="54"/>
        <v>RS.MI-31</v>
      </c>
      <c r="H426" s="296" t="str">
        <f t="shared" ca="1" si="55"/>
        <v>RS.MI-310</v>
      </c>
    </row>
    <row r="427" spans="1:8" ht="14" x14ac:dyDescent="0.3">
      <c r="A427" s="293">
        <v>508</v>
      </c>
      <c r="B427" s="293" t="s">
        <v>1242</v>
      </c>
      <c r="C427" s="294" t="s">
        <v>1053</v>
      </c>
      <c r="D427" s="294" t="s">
        <v>206</v>
      </c>
      <c r="E427" s="294">
        <v>2</v>
      </c>
      <c r="F427" s="250">
        <f ca="1">VLOOKUP($D427,Data!$C:$I,7,FALSE)</f>
        <v>0</v>
      </c>
      <c r="G427" s="296" t="str">
        <f t="shared" si="54"/>
        <v>RS.MI-32</v>
      </c>
      <c r="H427" s="296" t="str">
        <f t="shared" ca="1" si="55"/>
        <v>RS.MI-320</v>
      </c>
    </row>
    <row r="428" spans="1:8" ht="14" x14ac:dyDescent="0.3">
      <c r="A428" s="293">
        <v>510</v>
      </c>
      <c r="B428" s="293" t="s">
        <v>1242</v>
      </c>
      <c r="C428" s="294" t="s">
        <v>1054</v>
      </c>
      <c r="D428" s="294" t="s">
        <v>48</v>
      </c>
      <c r="E428" s="294">
        <v>2</v>
      </c>
      <c r="F428" s="250">
        <f ca="1">VLOOKUP($D428,Data!$C:$I,7,FALSE)</f>
        <v>0</v>
      </c>
      <c r="G428" s="296" t="str">
        <f t="shared" si="54"/>
        <v>RS.MI-32</v>
      </c>
      <c r="H428" s="296" t="str">
        <f t="shared" ca="1" si="55"/>
        <v>RS.MI-320</v>
      </c>
    </row>
    <row r="429" spans="1:8" ht="14" x14ac:dyDescent="0.3">
      <c r="A429" s="293">
        <v>510</v>
      </c>
      <c r="B429" s="293" t="s">
        <v>1242</v>
      </c>
      <c r="C429" s="294" t="s">
        <v>1054</v>
      </c>
      <c r="D429" s="294" t="s">
        <v>61</v>
      </c>
      <c r="E429" s="295">
        <v>3</v>
      </c>
      <c r="F429" s="250">
        <f ca="1">VLOOKUP($D429,Data!$C:$I,7,FALSE)</f>
        <v>0</v>
      </c>
      <c r="G429" s="296" t="str">
        <f t="shared" si="54"/>
        <v>RS.MI-33</v>
      </c>
      <c r="H429" s="296" t="str">
        <f t="shared" ca="1" si="55"/>
        <v>RS.MI-330</v>
      </c>
    </row>
    <row r="430" spans="1:8" ht="14" x14ac:dyDescent="0.3">
      <c r="A430" s="293">
        <v>512</v>
      </c>
      <c r="B430" s="293" t="s">
        <v>1242</v>
      </c>
      <c r="C430" s="294" t="s">
        <v>1141</v>
      </c>
      <c r="D430" s="294" t="s">
        <v>216</v>
      </c>
      <c r="E430" s="294">
        <v>3</v>
      </c>
      <c r="F430" s="250">
        <f ca="1">VLOOKUP($D430,Data!$C:$I,7,FALSE)</f>
        <v>0</v>
      </c>
      <c r="G430" s="296" t="str">
        <f t="shared" si="54"/>
        <v>RS.MI-33</v>
      </c>
      <c r="H430" s="296" t="str">
        <f t="shared" ca="1" si="55"/>
        <v>RS.MI-330</v>
      </c>
    </row>
    <row r="431" spans="1:8" ht="14" x14ac:dyDescent="0.3">
      <c r="A431" s="293">
        <v>513</v>
      </c>
      <c r="B431" s="293" t="s">
        <v>1243</v>
      </c>
      <c r="C431" s="294" t="s">
        <v>1195</v>
      </c>
      <c r="D431" s="294" t="s">
        <v>277</v>
      </c>
      <c r="E431" s="294">
        <v>3</v>
      </c>
      <c r="F431" s="250">
        <f ca="1">VLOOKUP($D431,Data!$C:$I,7,FALSE)</f>
        <v>0</v>
      </c>
      <c r="G431" s="296" t="str">
        <f t="shared" si="54"/>
        <v>RS.IM-13</v>
      </c>
      <c r="H431" s="296" t="str">
        <f t="shared" ca="1" si="55"/>
        <v>RS.IM-130</v>
      </c>
    </row>
    <row r="432" spans="1:8" ht="14" x14ac:dyDescent="0.3">
      <c r="A432" s="293">
        <v>514</v>
      </c>
      <c r="B432" s="293" t="s">
        <v>1244</v>
      </c>
      <c r="C432" s="294" t="s">
        <v>1195</v>
      </c>
      <c r="D432" s="294" t="s">
        <v>277</v>
      </c>
      <c r="E432" s="294">
        <v>3</v>
      </c>
      <c r="F432" s="250">
        <f ca="1">VLOOKUP($D432,Data!$C:$I,7,FALSE)</f>
        <v>0</v>
      </c>
      <c r="G432" s="296" t="str">
        <f t="shared" si="54"/>
        <v>RS.IM-23</v>
      </c>
      <c r="H432" s="296" t="str">
        <f t="shared" ca="1" si="55"/>
        <v>RS.IM-230</v>
      </c>
    </row>
    <row r="433" spans="1:8" ht="14" x14ac:dyDescent="0.3">
      <c r="A433" s="293">
        <v>516</v>
      </c>
      <c r="B433" s="293" t="s">
        <v>1245</v>
      </c>
      <c r="C433" s="294" t="s">
        <v>1240</v>
      </c>
      <c r="D433" s="294" t="s">
        <v>272</v>
      </c>
      <c r="E433" s="294">
        <v>1</v>
      </c>
      <c r="F433" s="250">
        <f ca="1">VLOOKUP($D433,Data!$C:$I,7,FALSE)</f>
        <v>0</v>
      </c>
      <c r="G433" s="296" t="str">
        <f t="shared" si="54"/>
        <v>RC.RP-11</v>
      </c>
      <c r="H433" s="296" t="str">
        <f t="shared" ca="1" si="55"/>
        <v>RC.RP-110</v>
      </c>
    </row>
    <row r="434" spans="1:8" ht="14" x14ac:dyDescent="0.3">
      <c r="A434" s="293">
        <v>517</v>
      </c>
      <c r="B434" s="293" t="s">
        <v>1245</v>
      </c>
      <c r="C434" s="294" t="s">
        <v>1225</v>
      </c>
      <c r="D434" s="294" t="s">
        <v>274</v>
      </c>
      <c r="E434" s="294">
        <v>2</v>
      </c>
      <c r="F434" s="250">
        <f ca="1">VLOOKUP($D434,Data!$C:$I,7,FALSE)</f>
        <v>0</v>
      </c>
      <c r="G434" s="296" t="str">
        <f t="shared" si="54"/>
        <v>RC.RP-12</v>
      </c>
      <c r="H434" s="296" t="str">
        <f t="shared" ca="1" si="55"/>
        <v>RC.RP-120</v>
      </c>
    </row>
    <row r="435" spans="1:8" ht="14" x14ac:dyDescent="0.3">
      <c r="A435" s="293">
        <v>520</v>
      </c>
      <c r="B435" s="293" t="s">
        <v>1246</v>
      </c>
      <c r="C435" s="294" t="s">
        <v>1195</v>
      </c>
      <c r="D435" s="294" t="s">
        <v>277</v>
      </c>
      <c r="E435" s="294">
        <v>3</v>
      </c>
      <c r="F435" s="250">
        <f ca="1">VLOOKUP($D435,Data!$C:$I,7,FALSE)</f>
        <v>0</v>
      </c>
      <c r="G435" s="296" t="str">
        <f t="shared" si="54"/>
        <v>RC.IM-13</v>
      </c>
      <c r="H435" s="296" t="str">
        <f t="shared" ca="1" si="55"/>
        <v>RC.IM-130</v>
      </c>
    </row>
    <row r="436" spans="1:8" ht="14" x14ac:dyDescent="0.3">
      <c r="A436" s="293">
        <v>521</v>
      </c>
      <c r="B436" s="293" t="s">
        <v>1246</v>
      </c>
      <c r="C436" s="294" t="s">
        <v>1165</v>
      </c>
      <c r="D436" s="294" t="s">
        <v>413</v>
      </c>
      <c r="E436" s="294">
        <v>3</v>
      </c>
      <c r="F436" s="250">
        <f ca="1">VLOOKUP($D436,Data!$C:$I,7,FALSE)</f>
        <v>0</v>
      </c>
      <c r="G436" s="296" t="str">
        <f t="shared" si="54"/>
        <v>RC.IM-13</v>
      </c>
      <c r="H436" s="296" t="str">
        <f t="shared" ca="1" si="55"/>
        <v>RC.IM-130</v>
      </c>
    </row>
    <row r="437" spans="1:8" ht="14" x14ac:dyDescent="0.3">
      <c r="A437" s="293">
        <v>523</v>
      </c>
      <c r="B437" s="293" t="s">
        <v>1247</v>
      </c>
      <c r="C437" s="294" t="s">
        <v>1195</v>
      </c>
      <c r="D437" s="294" t="s">
        <v>277</v>
      </c>
      <c r="E437" s="294">
        <v>3</v>
      </c>
      <c r="F437" s="250">
        <f ca="1">VLOOKUP($D437,Data!$C:$I,7,FALSE)</f>
        <v>0</v>
      </c>
      <c r="G437" s="296" t="str">
        <f t="shared" si="54"/>
        <v>RC.IM-23</v>
      </c>
      <c r="H437" s="296" t="str">
        <f t="shared" ca="1" si="55"/>
        <v>RC.IM-230</v>
      </c>
    </row>
    <row r="438" spans="1:8" ht="14" x14ac:dyDescent="0.3">
      <c r="A438" s="293">
        <v>525</v>
      </c>
      <c r="B438" s="293" t="s">
        <v>1248</v>
      </c>
      <c r="C438" s="294" t="s">
        <v>968</v>
      </c>
      <c r="D438" s="294" t="s">
        <v>196</v>
      </c>
      <c r="E438" s="294">
        <v>3</v>
      </c>
      <c r="F438" s="250">
        <f ca="1">VLOOKUP($D438,Data!$C:$I,7,FALSE)</f>
        <v>0</v>
      </c>
      <c r="G438" s="296" t="str">
        <f t="shared" si="54"/>
        <v>RC.CO-13</v>
      </c>
      <c r="H438" s="296" t="str">
        <f t="shared" ca="1" si="55"/>
        <v>RC.CO-130</v>
      </c>
    </row>
    <row r="439" spans="1:8" ht="14" x14ac:dyDescent="0.3">
      <c r="A439" s="293">
        <v>526</v>
      </c>
      <c r="B439" s="293" t="s">
        <v>1249</v>
      </c>
      <c r="C439" s="294" t="s">
        <v>1225</v>
      </c>
      <c r="D439" s="294" t="s">
        <v>274</v>
      </c>
      <c r="E439" s="294">
        <v>2</v>
      </c>
      <c r="F439" s="250">
        <f ca="1">VLOOKUP($D439,Data!$C:$I,7,FALSE)</f>
        <v>0</v>
      </c>
      <c r="G439" s="296" t="str">
        <f t="shared" si="54"/>
        <v>RC.CO-22</v>
      </c>
      <c r="H439" s="296" t="str">
        <f t="shared" ca="1" si="55"/>
        <v>RC.CO-220</v>
      </c>
    </row>
    <row r="440" spans="1:8" ht="14" x14ac:dyDescent="0.3">
      <c r="A440" s="293">
        <v>527</v>
      </c>
      <c r="B440" s="293" t="s">
        <v>1250</v>
      </c>
      <c r="C440" s="294" t="s">
        <v>1225</v>
      </c>
      <c r="D440" s="294" t="s">
        <v>274</v>
      </c>
      <c r="E440" s="294">
        <v>2</v>
      </c>
      <c r="F440" s="250">
        <f ca="1">VLOOKUP($D440,Data!$C:$I,7,FALSE)</f>
        <v>0</v>
      </c>
      <c r="G440" s="296" t="str">
        <f t="shared" si="54"/>
        <v>RC.CO-32</v>
      </c>
      <c r="H440" s="296" t="str">
        <f t="shared" ca="1" si="55"/>
        <v>RC.CO-320</v>
      </c>
    </row>
    <row r="441" spans="1:8" ht="14" x14ac:dyDescent="0.3">
      <c r="A441" s="293">
        <v>528</v>
      </c>
      <c r="B441" s="295" t="s">
        <v>1068</v>
      </c>
      <c r="C441" s="293" t="e">
        <v>#N/A</v>
      </c>
      <c r="D441" s="295" t="s">
        <v>67</v>
      </c>
      <c r="E441" s="293">
        <v>3</v>
      </c>
      <c r="F441" s="250">
        <f ca="1">VLOOKUP($D441,Data!$C:$I,7,FALSE)</f>
        <v>0</v>
      </c>
      <c r="G441" s="296" t="str">
        <f t="shared" si="54"/>
        <v>ID.RM-13</v>
      </c>
      <c r="H441" s="296" t="str">
        <f t="shared" ca="1" si="55"/>
        <v>ID.RM-130</v>
      </c>
    </row>
    <row r="442" spans="1:8" ht="14" x14ac:dyDescent="0.3">
      <c r="A442" s="293">
        <v>529</v>
      </c>
      <c r="B442" s="293" t="s">
        <v>1066</v>
      </c>
      <c r="C442" s="293" t="e">
        <v>#N/A</v>
      </c>
      <c r="D442" s="295" t="s">
        <v>67</v>
      </c>
      <c r="E442" s="293">
        <v>3</v>
      </c>
      <c r="F442" s="250">
        <f ca="1">VLOOKUP($D442,Data!$C:$I,7,FALSE)</f>
        <v>0</v>
      </c>
      <c r="G442" s="296" t="str">
        <f t="shared" si="54"/>
        <v>ID.RA-63</v>
      </c>
      <c r="H442" s="296" t="str">
        <f t="shared" ca="1" si="55"/>
        <v>ID.RA-630</v>
      </c>
    </row>
    <row r="443" spans="1:8" ht="14" x14ac:dyDescent="0.3">
      <c r="A443" s="293">
        <v>530</v>
      </c>
      <c r="B443" s="295" t="s">
        <v>1068</v>
      </c>
      <c r="C443" s="293" t="e">
        <v>#N/A</v>
      </c>
      <c r="D443" s="295" t="s">
        <v>90</v>
      </c>
      <c r="E443" s="293">
        <v>3</v>
      </c>
      <c r="F443" s="250">
        <f ca="1">VLOOKUP($D443,Data!$C:$I,7,FALSE)</f>
        <v>0</v>
      </c>
      <c r="G443" s="296" t="str">
        <f t="shared" si="54"/>
        <v>ID.RM-13</v>
      </c>
      <c r="H443" s="296" t="str">
        <f t="shared" ca="1" si="55"/>
        <v>ID.RM-130</v>
      </c>
    </row>
    <row r="444" spans="1:8" ht="14" x14ac:dyDescent="0.3">
      <c r="A444" s="293">
        <v>531</v>
      </c>
      <c r="B444" s="295" t="s">
        <v>984</v>
      </c>
      <c r="C444" s="293" t="e">
        <v>#N/A</v>
      </c>
      <c r="D444" s="295" t="s">
        <v>101</v>
      </c>
      <c r="E444" s="293">
        <v>3</v>
      </c>
      <c r="F444" s="250">
        <f ca="1">VLOOKUP($D444,Data!$C:$I,7,FALSE)</f>
        <v>0</v>
      </c>
      <c r="G444" s="296" t="str">
        <f t="shared" si="54"/>
        <v>ID.BE-43</v>
      </c>
      <c r="H444" s="296" t="str">
        <f t="shared" ca="1" si="55"/>
        <v>ID.BE-430</v>
      </c>
    </row>
    <row r="445" spans="1:8" ht="14" x14ac:dyDescent="0.3">
      <c r="A445" s="293">
        <v>532</v>
      </c>
      <c r="B445" s="293" t="s">
        <v>1065</v>
      </c>
      <c r="C445" s="293" t="e">
        <v>#N/A</v>
      </c>
      <c r="D445" s="295" t="s">
        <v>101</v>
      </c>
      <c r="E445" s="293">
        <v>3</v>
      </c>
      <c r="F445" s="250">
        <f ca="1">VLOOKUP($D445,Data!$C:$I,7,FALSE)</f>
        <v>0</v>
      </c>
      <c r="G445" s="296" t="str">
        <f t="shared" si="54"/>
        <v>ID.RA-53</v>
      </c>
      <c r="H445" s="296" t="str">
        <f t="shared" ca="1" si="55"/>
        <v>ID.RA-530</v>
      </c>
    </row>
    <row r="446" spans="1:8" ht="14" x14ac:dyDescent="0.3">
      <c r="A446" s="293">
        <v>533</v>
      </c>
      <c r="B446" s="295" t="s">
        <v>1011</v>
      </c>
      <c r="C446" s="293" t="e">
        <v>#N/A</v>
      </c>
      <c r="D446" s="295" t="s">
        <v>104</v>
      </c>
      <c r="E446" s="293">
        <v>2</v>
      </c>
      <c r="F446" s="250">
        <f ca="1">VLOOKUP($D446,Data!$C:$I,7,FALSE)</f>
        <v>0</v>
      </c>
      <c r="G446" s="296" t="str">
        <f t="shared" si="54"/>
        <v>ID.AM-32</v>
      </c>
      <c r="H446" s="296" t="str">
        <f t="shared" ca="1" si="55"/>
        <v>ID.AM-320</v>
      </c>
    </row>
    <row r="447" spans="1:8" ht="14" x14ac:dyDescent="0.3">
      <c r="A447" s="293">
        <v>534</v>
      </c>
      <c r="B447" s="293" t="s">
        <v>983</v>
      </c>
      <c r="C447" s="293" t="e">
        <v>#N/A</v>
      </c>
      <c r="D447" s="295" t="s">
        <v>104</v>
      </c>
      <c r="E447" s="293">
        <v>2</v>
      </c>
      <c r="F447" s="250">
        <f ca="1">VLOOKUP($D447,Data!$C:$I,7,FALSE)</f>
        <v>0</v>
      </c>
      <c r="G447" s="296" t="str">
        <f t="shared" si="54"/>
        <v>ID.AM-52</v>
      </c>
      <c r="H447" s="296" t="str">
        <f t="shared" ca="1" si="55"/>
        <v>ID.AM-520</v>
      </c>
    </row>
    <row r="448" spans="1:8" ht="14" x14ac:dyDescent="0.3">
      <c r="A448" s="293">
        <v>535</v>
      </c>
      <c r="B448" s="293" t="s">
        <v>984</v>
      </c>
      <c r="C448" s="293" t="e">
        <v>#N/A</v>
      </c>
      <c r="D448" s="295" t="s">
        <v>104</v>
      </c>
      <c r="E448" s="293">
        <v>2</v>
      </c>
      <c r="F448" s="250">
        <f ca="1">VLOOKUP($D448,Data!$C:$I,7,FALSE)</f>
        <v>0</v>
      </c>
      <c r="G448" s="296" t="str">
        <f t="shared" si="54"/>
        <v>ID.BE-42</v>
      </c>
      <c r="H448" s="296" t="str">
        <f t="shared" ca="1" si="55"/>
        <v>ID.BE-420</v>
      </c>
    </row>
    <row r="449" spans="1:8" ht="14" x14ac:dyDescent="0.3">
      <c r="A449" s="293">
        <v>536</v>
      </c>
      <c r="B449" s="293" t="s">
        <v>1157</v>
      </c>
      <c r="C449" s="293" t="e">
        <v>#N/A</v>
      </c>
      <c r="D449" s="295" t="s">
        <v>104</v>
      </c>
      <c r="E449" s="293">
        <v>2</v>
      </c>
      <c r="F449" s="250">
        <f ca="1">VLOOKUP($D449,Data!$C:$I,7,FALSE)</f>
        <v>0</v>
      </c>
      <c r="G449" s="296" t="str">
        <f t="shared" si="54"/>
        <v>PR.IP-42</v>
      </c>
      <c r="H449" s="296" t="str">
        <f t="shared" ca="1" si="55"/>
        <v>PR.IP-420</v>
      </c>
    </row>
    <row r="450" spans="1:8" ht="14" x14ac:dyDescent="0.3">
      <c r="A450" s="293">
        <v>537</v>
      </c>
      <c r="B450" s="295" t="s">
        <v>983</v>
      </c>
      <c r="C450" s="293" t="e">
        <v>#N/A</v>
      </c>
      <c r="D450" s="295" t="s">
        <v>106</v>
      </c>
      <c r="E450" s="293">
        <v>2</v>
      </c>
      <c r="F450" s="250">
        <f ca="1">VLOOKUP($D450,Data!$C:$I,7,FALSE)</f>
        <v>0</v>
      </c>
      <c r="G450" s="296" t="str">
        <f t="shared" ref="G450:G513" si="56">CONCATENATE($B450,$E450)</f>
        <v>ID.AM-52</v>
      </c>
      <c r="H450" s="296" t="str">
        <f t="shared" ref="H450:H513" ca="1" si="57">_xlfn.IFNA(CONCATENATE($B450,$E450,$F450),CONCATENATE($B450,$E450,0))</f>
        <v>ID.AM-520</v>
      </c>
    </row>
    <row r="451" spans="1:8" ht="14" x14ac:dyDescent="0.3">
      <c r="A451" s="293">
        <v>538</v>
      </c>
      <c r="B451" s="295" t="s">
        <v>984</v>
      </c>
      <c r="C451" s="293" t="e">
        <v>#N/A</v>
      </c>
      <c r="D451" s="295" t="s">
        <v>106</v>
      </c>
      <c r="E451" s="293">
        <v>2</v>
      </c>
      <c r="F451" s="250">
        <f ca="1">VLOOKUP($D451,Data!$C:$I,7,FALSE)</f>
        <v>0</v>
      </c>
      <c r="G451" s="296" t="str">
        <f t="shared" si="56"/>
        <v>ID.BE-42</v>
      </c>
      <c r="H451" s="296" t="str">
        <f t="shared" ca="1" si="57"/>
        <v>ID.BE-420</v>
      </c>
    </row>
    <row r="452" spans="1:8" ht="14" x14ac:dyDescent="0.3">
      <c r="A452" s="293">
        <v>539</v>
      </c>
      <c r="B452" s="293" t="s">
        <v>1157</v>
      </c>
      <c r="C452" s="293" t="e">
        <v>#N/A</v>
      </c>
      <c r="D452" s="295" t="s">
        <v>106</v>
      </c>
      <c r="E452" s="293">
        <v>2</v>
      </c>
      <c r="F452" s="250">
        <f ca="1">VLOOKUP($D452,Data!$C:$I,7,FALSE)</f>
        <v>0</v>
      </c>
      <c r="G452" s="296" t="str">
        <f t="shared" si="56"/>
        <v>PR.IP-42</v>
      </c>
      <c r="H452" s="296" t="str">
        <f t="shared" ca="1" si="57"/>
        <v>PR.IP-420</v>
      </c>
    </row>
    <row r="453" spans="1:8" ht="14" x14ac:dyDescent="0.3">
      <c r="A453" s="293">
        <v>540</v>
      </c>
      <c r="B453" s="295" t="s">
        <v>1011</v>
      </c>
      <c r="C453" s="293" t="e">
        <v>#N/A</v>
      </c>
      <c r="D453" s="295" t="s">
        <v>108</v>
      </c>
      <c r="E453" s="293">
        <v>3</v>
      </c>
      <c r="F453" s="250">
        <f ca="1">VLOOKUP($D453,Data!$C:$I,7,FALSE)</f>
        <v>0</v>
      </c>
      <c r="G453" s="296" t="str">
        <f t="shared" si="56"/>
        <v>ID.AM-33</v>
      </c>
      <c r="H453" s="296" t="str">
        <f t="shared" ca="1" si="57"/>
        <v>ID.AM-330</v>
      </c>
    </row>
    <row r="454" spans="1:8" ht="14" x14ac:dyDescent="0.3">
      <c r="A454" s="293">
        <v>541</v>
      </c>
      <c r="B454" s="293" t="s">
        <v>983</v>
      </c>
      <c r="C454" s="293" t="e">
        <v>#N/A</v>
      </c>
      <c r="D454" s="295" t="s">
        <v>108</v>
      </c>
      <c r="E454" s="293">
        <v>3</v>
      </c>
      <c r="F454" s="250">
        <f ca="1">VLOOKUP($D454,Data!$C:$I,7,FALSE)</f>
        <v>0</v>
      </c>
      <c r="G454" s="296" t="str">
        <f t="shared" si="56"/>
        <v>ID.AM-53</v>
      </c>
      <c r="H454" s="296" t="str">
        <f t="shared" ca="1" si="57"/>
        <v>ID.AM-530</v>
      </c>
    </row>
    <row r="455" spans="1:8" ht="14" x14ac:dyDescent="0.3">
      <c r="A455" s="293">
        <v>542</v>
      </c>
      <c r="B455" s="293" t="s">
        <v>984</v>
      </c>
      <c r="C455" s="293" t="e">
        <v>#N/A</v>
      </c>
      <c r="D455" s="295" t="s">
        <v>108</v>
      </c>
      <c r="E455" s="293">
        <v>3</v>
      </c>
      <c r="F455" s="250">
        <f ca="1">VLOOKUP($D455,Data!$C:$I,7,FALSE)</f>
        <v>0</v>
      </c>
      <c r="G455" s="296" t="str">
        <f t="shared" si="56"/>
        <v>ID.BE-43</v>
      </c>
      <c r="H455" s="296" t="str">
        <f t="shared" ca="1" si="57"/>
        <v>ID.BE-430</v>
      </c>
    </row>
    <row r="456" spans="1:8" ht="14" x14ac:dyDescent="0.3">
      <c r="A456" s="293">
        <v>543</v>
      </c>
      <c r="B456" s="293" t="s">
        <v>1157</v>
      </c>
      <c r="C456" s="293" t="e">
        <v>#N/A</v>
      </c>
      <c r="D456" s="295" t="s">
        <v>108</v>
      </c>
      <c r="E456" s="293">
        <v>3</v>
      </c>
      <c r="F456" s="250">
        <f ca="1">VLOOKUP($D456,Data!$C:$I,7,FALSE)</f>
        <v>0</v>
      </c>
      <c r="G456" s="296" t="str">
        <f t="shared" si="56"/>
        <v>PR.IP-43</v>
      </c>
      <c r="H456" s="296" t="str">
        <f t="shared" ca="1" si="57"/>
        <v>PR.IP-430</v>
      </c>
    </row>
    <row r="457" spans="1:8" ht="14" x14ac:dyDescent="0.3">
      <c r="A457" s="293">
        <v>544</v>
      </c>
      <c r="B457" s="295" t="s">
        <v>1011</v>
      </c>
      <c r="C457" s="293" t="e">
        <v>#N/A</v>
      </c>
      <c r="D457" s="295" t="s">
        <v>110</v>
      </c>
      <c r="E457" s="293">
        <v>3</v>
      </c>
      <c r="F457" s="250">
        <f ca="1">VLOOKUP($D457,Data!$C:$I,7,FALSE)</f>
        <v>0</v>
      </c>
      <c r="G457" s="296" t="str">
        <f t="shared" si="56"/>
        <v>ID.AM-33</v>
      </c>
      <c r="H457" s="296" t="str">
        <f t="shared" ca="1" si="57"/>
        <v>ID.AM-330</v>
      </c>
    </row>
    <row r="458" spans="1:8" ht="14" x14ac:dyDescent="0.3">
      <c r="A458" s="293">
        <v>545</v>
      </c>
      <c r="B458" s="293" t="s">
        <v>984</v>
      </c>
      <c r="C458" s="293" t="e">
        <v>#N/A</v>
      </c>
      <c r="D458" s="295" t="s">
        <v>110</v>
      </c>
      <c r="E458" s="293">
        <v>3</v>
      </c>
      <c r="F458" s="250">
        <f ca="1">VLOOKUP($D458,Data!$C:$I,7,FALSE)</f>
        <v>0</v>
      </c>
      <c r="G458" s="296" t="str">
        <f t="shared" si="56"/>
        <v>ID.BE-43</v>
      </c>
      <c r="H458" s="296" t="str">
        <f t="shared" ca="1" si="57"/>
        <v>ID.BE-430</v>
      </c>
    </row>
    <row r="459" spans="1:8" ht="14" x14ac:dyDescent="0.3">
      <c r="A459" s="293">
        <v>546</v>
      </c>
      <c r="B459" s="293" t="s">
        <v>1157</v>
      </c>
      <c r="C459" s="293" t="e">
        <v>#N/A</v>
      </c>
      <c r="D459" s="295" t="s">
        <v>110</v>
      </c>
      <c r="E459" s="293">
        <v>3</v>
      </c>
      <c r="F459" s="250">
        <f ca="1">VLOOKUP($D459,Data!$C:$I,7,FALSE)</f>
        <v>0</v>
      </c>
      <c r="G459" s="296" t="str">
        <f t="shared" si="56"/>
        <v>PR.IP-43</v>
      </c>
      <c r="H459" s="296" t="str">
        <f t="shared" ca="1" si="57"/>
        <v>PR.IP-430</v>
      </c>
    </row>
    <row r="460" spans="1:8" ht="14" x14ac:dyDescent="0.3">
      <c r="A460" s="293">
        <v>547</v>
      </c>
      <c r="B460" s="295" t="s">
        <v>984</v>
      </c>
      <c r="C460" s="293" t="e">
        <v>#N/A</v>
      </c>
      <c r="D460" s="295" t="s">
        <v>111</v>
      </c>
      <c r="E460" s="293">
        <v>3</v>
      </c>
      <c r="F460" s="250">
        <f ca="1">VLOOKUP($D460,Data!$C:$I,7,FALSE)</f>
        <v>0</v>
      </c>
      <c r="G460" s="296" t="str">
        <f t="shared" si="56"/>
        <v>ID.BE-43</v>
      </c>
      <c r="H460" s="296" t="str">
        <f t="shared" ca="1" si="57"/>
        <v>ID.BE-430</v>
      </c>
    </row>
    <row r="461" spans="1:8" ht="14" x14ac:dyDescent="0.3">
      <c r="A461" s="293">
        <v>548</v>
      </c>
      <c r="B461" s="293" t="s">
        <v>1065</v>
      </c>
      <c r="C461" s="293" t="e">
        <v>#N/A</v>
      </c>
      <c r="D461" s="295" t="s">
        <v>111</v>
      </c>
      <c r="E461" s="293">
        <v>3</v>
      </c>
      <c r="F461" s="250">
        <f ca="1">VLOOKUP($D461,Data!$C:$I,7,FALSE)</f>
        <v>0</v>
      </c>
      <c r="G461" s="296" t="str">
        <f t="shared" si="56"/>
        <v>ID.RA-53</v>
      </c>
      <c r="H461" s="296" t="str">
        <f t="shared" ca="1" si="57"/>
        <v>ID.RA-530</v>
      </c>
    </row>
    <row r="462" spans="1:8" ht="14" x14ac:dyDescent="0.3">
      <c r="A462" s="293">
        <v>549</v>
      </c>
      <c r="B462" s="295" t="s">
        <v>1152</v>
      </c>
      <c r="C462" s="293" t="e">
        <v>#N/A</v>
      </c>
      <c r="D462" s="295" t="s">
        <v>123</v>
      </c>
      <c r="E462" s="293">
        <v>3</v>
      </c>
      <c r="F462" s="250">
        <f ca="1">VLOOKUP($D462,Data!$C:$I,7,FALSE)</f>
        <v>0</v>
      </c>
      <c r="G462" s="296" t="str">
        <f t="shared" si="56"/>
        <v>PR.IP-13</v>
      </c>
      <c r="H462" s="296" t="str">
        <f t="shared" ca="1" si="57"/>
        <v>PR.IP-130</v>
      </c>
    </row>
    <row r="463" spans="1:8" ht="14" x14ac:dyDescent="0.3">
      <c r="A463" s="293">
        <v>550</v>
      </c>
      <c r="B463" s="295" t="s">
        <v>995</v>
      </c>
      <c r="C463" s="293" t="e">
        <v>#N/A</v>
      </c>
      <c r="D463" s="295" t="s">
        <v>153</v>
      </c>
      <c r="E463" s="293">
        <v>3</v>
      </c>
      <c r="F463" s="250">
        <f ca="1">VLOOKUP($D463,Data!$C:$I,7,FALSE)</f>
        <v>0</v>
      </c>
      <c r="G463" s="296" t="str">
        <f t="shared" si="56"/>
        <v>PR.IP-53</v>
      </c>
      <c r="H463" s="296" t="str">
        <f t="shared" ca="1" si="57"/>
        <v>PR.IP-530</v>
      </c>
    </row>
    <row r="464" spans="1:8" ht="14" x14ac:dyDescent="0.3">
      <c r="A464" s="293">
        <v>551</v>
      </c>
      <c r="B464" s="295" t="s">
        <v>988</v>
      </c>
      <c r="C464" s="293" t="e">
        <v>#N/A</v>
      </c>
      <c r="D464" s="295" t="s">
        <v>158</v>
      </c>
      <c r="E464" s="293">
        <v>3</v>
      </c>
      <c r="F464" s="250">
        <f ca="1">VLOOKUP($D464,Data!$C:$I,7,FALSE)</f>
        <v>0</v>
      </c>
      <c r="G464" s="296" t="str">
        <f t="shared" si="56"/>
        <v>ID.SC-33</v>
      </c>
      <c r="H464" s="296" t="str">
        <f t="shared" ca="1" si="57"/>
        <v>ID.SC-330</v>
      </c>
    </row>
    <row r="465" spans="1:8" ht="14" x14ac:dyDescent="0.3">
      <c r="A465" s="293">
        <v>552</v>
      </c>
      <c r="B465" s="295" t="s">
        <v>1220</v>
      </c>
      <c r="C465" s="293" t="e">
        <v>#N/A</v>
      </c>
      <c r="D465" s="295" t="s">
        <v>194</v>
      </c>
      <c r="E465" s="293">
        <v>3</v>
      </c>
      <c r="F465" s="250">
        <f ca="1">VLOOKUP($D465,Data!$C:$I,7,FALSE)</f>
        <v>0</v>
      </c>
      <c r="G465" s="296" t="str">
        <f t="shared" si="56"/>
        <v>DE.DP-43</v>
      </c>
      <c r="H465" s="296" t="str">
        <f t="shared" ca="1" si="57"/>
        <v>DE.DP-430</v>
      </c>
    </row>
    <row r="466" spans="1:8" ht="14" x14ac:dyDescent="0.3">
      <c r="A466" s="293">
        <v>553</v>
      </c>
      <c r="B466" s="293" t="s">
        <v>1229</v>
      </c>
      <c r="C466" s="293" t="e">
        <v>#N/A</v>
      </c>
      <c r="D466" s="295" t="s">
        <v>194</v>
      </c>
      <c r="E466" s="293">
        <v>3</v>
      </c>
      <c r="F466" s="250">
        <f ca="1">VLOOKUP($D466,Data!$C:$I,7,FALSE)</f>
        <v>0</v>
      </c>
      <c r="G466" s="296" t="str">
        <f t="shared" si="56"/>
        <v>RS.CO-33</v>
      </c>
      <c r="H466" s="296" t="str">
        <f t="shared" ca="1" si="57"/>
        <v>RS.CO-330</v>
      </c>
    </row>
    <row r="467" spans="1:8" ht="14" x14ac:dyDescent="0.3">
      <c r="A467" s="293">
        <v>554</v>
      </c>
      <c r="B467" s="295" t="s">
        <v>1176</v>
      </c>
      <c r="C467" s="293" t="e">
        <v>#N/A</v>
      </c>
      <c r="D467" s="295" t="s">
        <v>195</v>
      </c>
      <c r="E467" s="293">
        <v>3</v>
      </c>
      <c r="F467" s="250">
        <f ca="1">VLOOKUP($D467,Data!$C:$I,7,FALSE)</f>
        <v>0</v>
      </c>
      <c r="G467" s="296" t="str">
        <f t="shared" si="56"/>
        <v>PR.IP-123</v>
      </c>
      <c r="H467" s="296" t="str">
        <f t="shared" ca="1" si="57"/>
        <v>PR.IP-1230</v>
      </c>
    </row>
    <row r="468" spans="1:8" ht="14" x14ac:dyDescent="0.3">
      <c r="A468" s="293">
        <v>555</v>
      </c>
      <c r="B468" s="293" t="s">
        <v>1202</v>
      </c>
      <c r="C468" s="293" t="e">
        <v>#N/A</v>
      </c>
      <c r="D468" s="295" t="s">
        <v>195</v>
      </c>
      <c r="E468" s="293">
        <v>3</v>
      </c>
      <c r="F468" s="250">
        <f ca="1">VLOOKUP($D468,Data!$C:$I,7,FALSE)</f>
        <v>0</v>
      </c>
      <c r="G468" s="296" t="str">
        <f t="shared" si="56"/>
        <v>DE.AE-53</v>
      </c>
      <c r="H468" s="296" t="str">
        <f t="shared" ca="1" si="57"/>
        <v>DE.AE-530</v>
      </c>
    </row>
    <row r="469" spans="1:8" ht="14" x14ac:dyDescent="0.3">
      <c r="A469" s="293">
        <v>556</v>
      </c>
      <c r="B469" s="295" t="s">
        <v>1057</v>
      </c>
      <c r="C469" s="293" t="e">
        <v>#N/A</v>
      </c>
      <c r="D469" s="295" t="s">
        <v>198</v>
      </c>
      <c r="E469" s="293">
        <v>3</v>
      </c>
      <c r="F469" s="250">
        <f ca="1">VLOOKUP($D469,Data!$C:$I,7,FALSE)</f>
        <v>0</v>
      </c>
      <c r="G469" s="296" t="str">
        <f t="shared" si="56"/>
        <v>ID.RA-23</v>
      </c>
      <c r="H469" s="296" t="str">
        <f t="shared" ca="1" si="57"/>
        <v>ID.RA-230</v>
      </c>
    </row>
    <row r="470" spans="1:8" ht="14" x14ac:dyDescent="0.3">
      <c r="A470" s="293">
        <v>557</v>
      </c>
      <c r="B470" s="293" t="s">
        <v>1220</v>
      </c>
      <c r="C470" s="293" t="e">
        <v>#N/A</v>
      </c>
      <c r="D470" s="295" t="s">
        <v>198</v>
      </c>
      <c r="E470" s="293">
        <v>3</v>
      </c>
      <c r="F470" s="250">
        <f ca="1">VLOOKUP($D470,Data!$C:$I,7,FALSE)</f>
        <v>0</v>
      </c>
      <c r="G470" s="296" t="str">
        <f t="shared" si="56"/>
        <v>DE.DP-43</v>
      </c>
      <c r="H470" s="296" t="str">
        <f t="shared" ca="1" si="57"/>
        <v>DE.DP-430</v>
      </c>
    </row>
    <row r="471" spans="1:8" ht="14" x14ac:dyDescent="0.3">
      <c r="A471" s="293">
        <v>558</v>
      </c>
      <c r="B471" s="293" t="s">
        <v>1229</v>
      </c>
      <c r="C471" s="293" t="e">
        <v>#N/A</v>
      </c>
      <c r="D471" s="295" t="s">
        <v>198</v>
      </c>
      <c r="E471" s="293">
        <v>3</v>
      </c>
      <c r="F471" s="250">
        <f ca="1">VLOOKUP($D471,Data!$C:$I,7,FALSE)</f>
        <v>0</v>
      </c>
      <c r="G471" s="296" t="str">
        <f t="shared" si="56"/>
        <v>RS.CO-33</v>
      </c>
      <c r="H471" s="296" t="str">
        <f t="shared" ca="1" si="57"/>
        <v>RS.CO-330</v>
      </c>
    </row>
    <row r="472" spans="1:8" ht="14" x14ac:dyDescent="0.3">
      <c r="A472" s="293">
        <v>559</v>
      </c>
      <c r="B472" s="293" t="s">
        <v>1232</v>
      </c>
      <c r="C472" s="293" t="e">
        <v>#N/A</v>
      </c>
      <c r="D472" s="295" t="s">
        <v>198</v>
      </c>
      <c r="E472" s="293">
        <v>3</v>
      </c>
      <c r="F472" s="250">
        <f ca="1">VLOOKUP($D472,Data!$C:$I,7,FALSE)</f>
        <v>0</v>
      </c>
      <c r="G472" s="296" t="str">
        <f t="shared" si="56"/>
        <v>RS.CO-53</v>
      </c>
      <c r="H472" s="296" t="str">
        <f t="shared" ca="1" si="57"/>
        <v>RS.CO-530</v>
      </c>
    </row>
    <row r="473" spans="1:8" ht="14" x14ac:dyDescent="0.3">
      <c r="A473" s="293">
        <v>560</v>
      </c>
      <c r="B473" s="293" t="s">
        <v>1237</v>
      </c>
      <c r="C473" s="293" t="e">
        <v>#N/A</v>
      </c>
      <c r="D473" s="295" t="s">
        <v>198</v>
      </c>
      <c r="E473" s="293">
        <v>3</v>
      </c>
      <c r="F473" s="250">
        <f ca="1">VLOOKUP($D473,Data!$C:$I,7,FALSE)</f>
        <v>0</v>
      </c>
      <c r="G473" s="296" t="str">
        <f t="shared" si="56"/>
        <v>RS.AN-53</v>
      </c>
      <c r="H473" s="296" t="str">
        <f t="shared" ca="1" si="57"/>
        <v>RS.AN-530</v>
      </c>
    </row>
    <row r="474" spans="1:8" ht="14" x14ac:dyDescent="0.3">
      <c r="A474" s="293">
        <v>561</v>
      </c>
      <c r="B474" s="295" t="s">
        <v>1048</v>
      </c>
      <c r="C474" s="293" t="e">
        <v>#N/A</v>
      </c>
      <c r="D474" s="295" t="s">
        <v>200</v>
      </c>
      <c r="E474" s="293">
        <v>1</v>
      </c>
      <c r="F474" s="250">
        <f ca="1">VLOOKUP($D474,Data!$C:$I,7,FALSE)</f>
        <v>0</v>
      </c>
      <c r="G474" s="296" t="str">
        <f t="shared" si="56"/>
        <v>ID.RA-11</v>
      </c>
      <c r="H474" s="296" t="str">
        <f t="shared" ca="1" si="57"/>
        <v>ID.RA-110</v>
      </c>
    </row>
    <row r="475" spans="1:8" ht="14" x14ac:dyDescent="0.3">
      <c r="A475" s="293">
        <v>562</v>
      </c>
      <c r="B475" s="295" t="s">
        <v>1057</v>
      </c>
      <c r="C475" s="293" t="e">
        <v>#N/A</v>
      </c>
      <c r="D475" s="295" t="s">
        <v>200</v>
      </c>
      <c r="E475" s="293">
        <v>1</v>
      </c>
      <c r="F475" s="250">
        <f ca="1">VLOOKUP($D475,Data!$C:$I,7,FALSE)</f>
        <v>0</v>
      </c>
      <c r="G475" s="296" t="str">
        <f t="shared" si="56"/>
        <v>ID.RA-21</v>
      </c>
      <c r="H475" s="296" t="str">
        <f t="shared" ca="1" si="57"/>
        <v>ID.RA-210</v>
      </c>
    </row>
    <row r="476" spans="1:8" ht="14" x14ac:dyDescent="0.3">
      <c r="A476" s="293">
        <v>563</v>
      </c>
      <c r="B476" s="295" t="s">
        <v>1161</v>
      </c>
      <c r="C476" s="293" t="e">
        <v>#N/A</v>
      </c>
      <c r="D476" s="295" t="s">
        <v>200</v>
      </c>
      <c r="E476" s="293">
        <v>1</v>
      </c>
      <c r="F476" s="250">
        <f ca="1">VLOOKUP($D476,Data!$C:$I,7,FALSE)</f>
        <v>0</v>
      </c>
      <c r="G476" s="296" t="str">
        <f t="shared" si="56"/>
        <v>PR.IP-81</v>
      </c>
      <c r="H476" s="296" t="str">
        <f t="shared" ca="1" si="57"/>
        <v>PR.IP-810</v>
      </c>
    </row>
    <row r="477" spans="1:8" ht="14" x14ac:dyDescent="0.3">
      <c r="A477" s="293">
        <v>564</v>
      </c>
      <c r="B477" s="295" t="s">
        <v>1232</v>
      </c>
      <c r="C477" s="293" t="e">
        <v>#N/A</v>
      </c>
      <c r="D477" s="295" t="s">
        <v>200</v>
      </c>
      <c r="E477" s="293">
        <v>1</v>
      </c>
      <c r="F477" s="250">
        <f ca="1">VLOOKUP($D477,Data!$C:$I,7,FALSE)</f>
        <v>0</v>
      </c>
      <c r="G477" s="296" t="str">
        <f t="shared" si="56"/>
        <v>RS.CO-51</v>
      </c>
      <c r="H477" s="296" t="str">
        <f t="shared" ca="1" si="57"/>
        <v>RS.CO-510</v>
      </c>
    </row>
    <row r="478" spans="1:8" ht="14" x14ac:dyDescent="0.3">
      <c r="A478" s="293">
        <v>565</v>
      </c>
      <c r="B478" s="295" t="s">
        <v>1048</v>
      </c>
      <c r="C478" s="293" t="e">
        <v>#N/A</v>
      </c>
      <c r="D478" s="295" t="s">
        <v>205</v>
      </c>
      <c r="E478" s="293">
        <v>2</v>
      </c>
      <c r="F478" s="250">
        <f ca="1">VLOOKUP($D478,Data!$C:$I,7,FALSE)</f>
        <v>0</v>
      </c>
      <c r="G478" s="296" t="str">
        <f t="shared" si="56"/>
        <v>ID.RA-12</v>
      </c>
      <c r="H478" s="296" t="str">
        <f t="shared" ca="1" si="57"/>
        <v>ID.RA-120</v>
      </c>
    </row>
    <row r="479" spans="1:8" ht="14" x14ac:dyDescent="0.3">
      <c r="A479" s="293">
        <v>566</v>
      </c>
      <c r="B479" s="295" t="s">
        <v>1060</v>
      </c>
      <c r="C479" s="293" t="e">
        <v>#N/A</v>
      </c>
      <c r="D479" s="295" t="s">
        <v>205</v>
      </c>
      <c r="E479" s="293">
        <v>2</v>
      </c>
      <c r="F479" s="250">
        <f ca="1">VLOOKUP($D479,Data!$C:$I,7,FALSE)</f>
        <v>0</v>
      </c>
      <c r="G479" s="296" t="str">
        <f t="shared" si="56"/>
        <v>ID.RA-32</v>
      </c>
      <c r="H479" s="296" t="str">
        <f t="shared" ca="1" si="57"/>
        <v>ID.RA-320</v>
      </c>
    </row>
    <row r="480" spans="1:8" ht="14" x14ac:dyDescent="0.3">
      <c r="A480" s="293">
        <v>567</v>
      </c>
      <c r="B480" s="295" t="s">
        <v>1063</v>
      </c>
      <c r="C480" s="293" t="e">
        <v>#N/A</v>
      </c>
      <c r="D480" s="295" t="s">
        <v>205</v>
      </c>
      <c r="E480" s="293">
        <v>2</v>
      </c>
      <c r="F480" s="250">
        <f ca="1">VLOOKUP($D480,Data!$C:$I,7,FALSE)</f>
        <v>0</v>
      </c>
      <c r="G480" s="296" t="str">
        <f t="shared" si="56"/>
        <v>ID.RA-42</v>
      </c>
      <c r="H480" s="296" t="str">
        <f t="shared" ca="1" si="57"/>
        <v>ID.RA-420</v>
      </c>
    </row>
    <row r="481" spans="1:8" ht="14" x14ac:dyDescent="0.3">
      <c r="A481" s="293">
        <v>568</v>
      </c>
      <c r="B481" s="295" t="s">
        <v>1161</v>
      </c>
      <c r="C481" s="293" t="e">
        <v>#N/A</v>
      </c>
      <c r="D481" s="295" t="s">
        <v>208</v>
      </c>
      <c r="E481" s="293">
        <v>2</v>
      </c>
      <c r="F481" s="250">
        <f ca="1">VLOOKUP($D481,Data!$C:$I,7,FALSE)</f>
        <v>0</v>
      </c>
      <c r="G481" s="296" t="str">
        <f t="shared" si="56"/>
        <v>PR.IP-82</v>
      </c>
      <c r="H481" s="296" t="str">
        <f t="shared" ca="1" si="57"/>
        <v>PR.IP-820</v>
      </c>
    </row>
    <row r="482" spans="1:8" ht="14" x14ac:dyDescent="0.3">
      <c r="A482" s="293">
        <v>569</v>
      </c>
      <c r="B482" s="295" t="s">
        <v>1220</v>
      </c>
      <c r="C482" s="293" t="e">
        <v>#N/A</v>
      </c>
      <c r="D482" s="295" t="s">
        <v>208</v>
      </c>
      <c r="E482" s="293">
        <v>2</v>
      </c>
      <c r="F482" s="250">
        <f ca="1">VLOOKUP($D482,Data!$C:$I,7,FALSE)</f>
        <v>0</v>
      </c>
      <c r="G482" s="296" t="str">
        <f t="shared" si="56"/>
        <v>DE.DP-42</v>
      </c>
      <c r="H482" s="296" t="str">
        <f t="shared" ca="1" si="57"/>
        <v>DE.DP-420</v>
      </c>
    </row>
    <row r="483" spans="1:8" ht="14" x14ac:dyDescent="0.3">
      <c r="A483" s="293">
        <v>570</v>
      </c>
      <c r="B483" s="295" t="s">
        <v>1229</v>
      </c>
      <c r="C483" s="293" t="e">
        <v>#N/A</v>
      </c>
      <c r="D483" s="295" t="s">
        <v>208</v>
      </c>
      <c r="E483" s="293">
        <v>2</v>
      </c>
      <c r="F483" s="250">
        <f ca="1">VLOOKUP($D483,Data!$C:$I,7,FALSE)</f>
        <v>0</v>
      </c>
      <c r="G483" s="296" t="str">
        <f t="shared" si="56"/>
        <v>RS.CO-32</v>
      </c>
      <c r="H483" s="296" t="str">
        <f t="shared" ca="1" si="57"/>
        <v>RS.CO-320</v>
      </c>
    </row>
    <row r="484" spans="1:8" ht="14" x14ac:dyDescent="0.3">
      <c r="A484" s="293">
        <v>571</v>
      </c>
      <c r="B484" s="295" t="s">
        <v>1232</v>
      </c>
      <c r="C484" s="293" t="e">
        <v>#N/A</v>
      </c>
      <c r="D484" s="295" t="s">
        <v>208</v>
      </c>
      <c r="E484" s="293">
        <v>2</v>
      </c>
      <c r="F484" s="250">
        <f ca="1">VLOOKUP($D484,Data!$C:$I,7,FALSE)</f>
        <v>0</v>
      </c>
      <c r="G484" s="296" t="str">
        <f t="shared" si="56"/>
        <v>RS.CO-52</v>
      </c>
      <c r="H484" s="296" t="str">
        <f t="shared" ca="1" si="57"/>
        <v>RS.CO-520</v>
      </c>
    </row>
    <row r="485" spans="1:8" ht="14" x14ac:dyDescent="0.3">
      <c r="A485" s="293">
        <v>572</v>
      </c>
      <c r="B485" s="295" t="s">
        <v>1220</v>
      </c>
      <c r="C485" s="293" t="e">
        <v>#N/A</v>
      </c>
      <c r="D485" s="295" t="s">
        <v>214</v>
      </c>
      <c r="E485" s="293">
        <v>3</v>
      </c>
      <c r="F485" s="250">
        <f ca="1">VLOOKUP($D485,Data!$C:$I,7,FALSE)</f>
        <v>0</v>
      </c>
      <c r="G485" s="296" t="str">
        <f t="shared" si="56"/>
        <v>DE.DP-43</v>
      </c>
      <c r="H485" s="296" t="str">
        <f t="shared" ca="1" si="57"/>
        <v>DE.DP-430</v>
      </c>
    </row>
    <row r="486" spans="1:8" ht="14" x14ac:dyDescent="0.3">
      <c r="A486" s="293">
        <v>573</v>
      </c>
      <c r="B486" s="295" t="s">
        <v>1229</v>
      </c>
      <c r="C486" s="293" t="e">
        <v>#N/A</v>
      </c>
      <c r="D486" s="295" t="s">
        <v>214</v>
      </c>
      <c r="E486" s="293">
        <v>3</v>
      </c>
      <c r="F486" s="250">
        <f ca="1">VLOOKUP($D486,Data!$C:$I,7,FALSE)</f>
        <v>0</v>
      </c>
      <c r="G486" s="296" t="str">
        <f t="shared" si="56"/>
        <v>RS.CO-33</v>
      </c>
      <c r="H486" s="296" t="str">
        <f t="shared" ca="1" si="57"/>
        <v>RS.CO-330</v>
      </c>
    </row>
    <row r="487" spans="1:8" ht="14" x14ac:dyDescent="0.3">
      <c r="A487" s="293">
        <v>574</v>
      </c>
      <c r="B487" s="295" t="s">
        <v>1205</v>
      </c>
      <c r="C487" s="293" t="e">
        <v>#N/A</v>
      </c>
      <c r="D487" s="295" t="s">
        <v>238</v>
      </c>
      <c r="E487" s="293">
        <v>3</v>
      </c>
      <c r="F487" s="250">
        <f ca="1">VLOOKUP($D487,Data!$C:$I,7,FALSE)</f>
        <v>0</v>
      </c>
      <c r="G487" s="296" t="str">
        <f t="shared" si="56"/>
        <v>DE.CM-13</v>
      </c>
      <c r="H487" s="296" t="str">
        <f t="shared" ca="1" si="57"/>
        <v>DE.CM-130</v>
      </c>
    </row>
    <row r="488" spans="1:8" ht="14" x14ac:dyDescent="0.3">
      <c r="A488" s="293">
        <v>575</v>
      </c>
      <c r="B488" s="293" t="s">
        <v>1209</v>
      </c>
      <c r="C488" s="293" t="e">
        <v>#N/A</v>
      </c>
      <c r="D488" s="295" t="s">
        <v>238</v>
      </c>
      <c r="E488" s="293">
        <v>3</v>
      </c>
      <c r="F488" s="250">
        <f ca="1">VLOOKUP($D488,Data!$C:$I,7,FALSE)</f>
        <v>0</v>
      </c>
      <c r="G488" s="296" t="str">
        <f t="shared" si="56"/>
        <v>DE.CM-23</v>
      </c>
      <c r="H488" s="296" t="str">
        <f t="shared" ca="1" si="57"/>
        <v>DE.CM-230</v>
      </c>
    </row>
    <row r="489" spans="1:8" ht="14" x14ac:dyDescent="0.3">
      <c r="A489" s="293">
        <v>576</v>
      </c>
      <c r="B489" s="293" t="s">
        <v>1210</v>
      </c>
      <c r="C489" s="293" t="e">
        <v>#N/A</v>
      </c>
      <c r="D489" s="295" t="s">
        <v>238</v>
      </c>
      <c r="E489" s="293">
        <v>3</v>
      </c>
      <c r="F489" s="250">
        <f ca="1">VLOOKUP($D489,Data!$C:$I,7,FALSE)</f>
        <v>0</v>
      </c>
      <c r="G489" s="296" t="str">
        <f t="shared" si="56"/>
        <v>DE.CM-33</v>
      </c>
      <c r="H489" s="296" t="str">
        <f t="shared" ca="1" si="57"/>
        <v>DE.CM-330</v>
      </c>
    </row>
    <row r="490" spans="1:8" ht="14" x14ac:dyDescent="0.3">
      <c r="A490" s="293">
        <v>577</v>
      </c>
      <c r="B490" s="293" t="s">
        <v>1212</v>
      </c>
      <c r="C490" s="293" t="e">
        <v>#N/A</v>
      </c>
      <c r="D490" s="295" t="s">
        <v>238</v>
      </c>
      <c r="E490" s="293">
        <v>3</v>
      </c>
      <c r="F490" s="250">
        <f ca="1">VLOOKUP($D490,Data!$C:$I,7,FALSE)</f>
        <v>0</v>
      </c>
      <c r="G490" s="296" t="str">
        <f t="shared" si="56"/>
        <v>DE.CM-43</v>
      </c>
      <c r="H490" s="296" t="str">
        <f t="shared" ca="1" si="57"/>
        <v>DE.CM-430</v>
      </c>
    </row>
    <row r="491" spans="1:8" ht="14" x14ac:dyDescent="0.3">
      <c r="A491" s="293">
        <v>578</v>
      </c>
      <c r="B491" s="293" t="s">
        <v>1001</v>
      </c>
      <c r="C491" s="293" t="e">
        <v>#N/A</v>
      </c>
      <c r="D491" s="295" t="s">
        <v>238</v>
      </c>
      <c r="E491" s="293">
        <v>3</v>
      </c>
      <c r="F491" s="250">
        <f ca="1">VLOOKUP($D491,Data!$C:$I,7,FALSE)</f>
        <v>0</v>
      </c>
      <c r="G491" s="296" t="str">
        <f t="shared" si="56"/>
        <v>DE.CM-63</v>
      </c>
      <c r="H491" s="296" t="str">
        <f t="shared" ca="1" si="57"/>
        <v>DE.CM-630</v>
      </c>
    </row>
    <row r="492" spans="1:8" ht="14" x14ac:dyDescent="0.3">
      <c r="A492" s="293">
        <v>579</v>
      </c>
      <c r="B492" s="293" t="s">
        <v>1214</v>
      </c>
      <c r="C492" s="293" t="e">
        <v>#N/A</v>
      </c>
      <c r="D492" s="295" t="s">
        <v>238</v>
      </c>
      <c r="E492" s="293">
        <v>3</v>
      </c>
      <c r="F492" s="250">
        <f ca="1">VLOOKUP($D492,Data!$C:$I,7,FALSE)</f>
        <v>0</v>
      </c>
      <c r="G492" s="296" t="str">
        <f t="shared" si="56"/>
        <v>DE.CM-73</v>
      </c>
      <c r="H492" s="296" t="str">
        <f t="shared" ca="1" si="57"/>
        <v>DE.CM-730</v>
      </c>
    </row>
    <row r="493" spans="1:8" ht="14" x14ac:dyDescent="0.3">
      <c r="A493" s="293">
        <v>580</v>
      </c>
      <c r="B493" s="295" t="s">
        <v>1220</v>
      </c>
      <c r="C493" s="293" t="e">
        <v>#N/A</v>
      </c>
      <c r="D493" s="295" t="s">
        <v>256</v>
      </c>
      <c r="E493" s="293">
        <v>1</v>
      </c>
      <c r="F493" s="250">
        <f ca="1">VLOOKUP($D493,Data!$C:$I,7,FALSE)</f>
        <v>0</v>
      </c>
      <c r="G493" s="296" t="str">
        <f t="shared" si="56"/>
        <v>DE.DP-41</v>
      </c>
      <c r="H493" s="296" t="str">
        <f t="shared" ca="1" si="57"/>
        <v>DE.DP-410</v>
      </c>
    </row>
    <row r="494" spans="1:8" ht="14" x14ac:dyDescent="0.3">
      <c r="A494" s="293">
        <v>581</v>
      </c>
      <c r="B494" s="293" t="s">
        <v>1228</v>
      </c>
      <c r="C494" s="293" t="e">
        <v>#N/A</v>
      </c>
      <c r="D494" s="295" t="s">
        <v>256</v>
      </c>
      <c r="E494" s="293">
        <v>1</v>
      </c>
      <c r="F494" s="250">
        <f ca="1">VLOOKUP($D494,Data!$C:$I,7,FALSE)</f>
        <v>0</v>
      </c>
      <c r="G494" s="296" t="str">
        <f t="shared" si="56"/>
        <v>RS.CO-21</v>
      </c>
      <c r="H494" s="296" t="str">
        <f t="shared" ca="1" si="57"/>
        <v>RS.CO-210</v>
      </c>
    </row>
    <row r="495" spans="1:8" ht="14" x14ac:dyDescent="0.3">
      <c r="A495" s="293">
        <v>582</v>
      </c>
      <c r="B495" s="293" t="s">
        <v>997</v>
      </c>
      <c r="C495" s="293" t="e">
        <v>#N/A</v>
      </c>
      <c r="D495" s="295" t="s">
        <v>256</v>
      </c>
      <c r="E495" s="293">
        <v>1</v>
      </c>
      <c r="F495" s="250">
        <f ca="1">VLOOKUP($D495,Data!$C:$I,7,FALSE)</f>
        <v>0</v>
      </c>
      <c r="G495" s="296" t="str">
        <f t="shared" si="56"/>
        <v>PR.MA-21</v>
      </c>
      <c r="H495" s="296" t="str">
        <f t="shared" ca="1" si="57"/>
        <v>PR.MA-210</v>
      </c>
    </row>
    <row r="496" spans="1:8" ht="14" x14ac:dyDescent="0.3">
      <c r="A496" s="293">
        <v>583</v>
      </c>
      <c r="B496" s="295" t="s">
        <v>1228</v>
      </c>
      <c r="C496" s="293" t="e">
        <v>#N/A</v>
      </c>
      <c r="D496" s="295" t="s">
        <v>268</v>
      </c>
      <c r="E496" s="293">
        <v>2</v>
      </c>
      <c r="F496" s="250">
        <f ca="1">VLOOKUP($D496,Data!$C:$I,7,FALSE)</f>
        <v>0</v>
      </c>
      <c r="G496" s="296" t="str">
        <f t="shared" si="56"/>
        <v>RS.CO-22</v>
      </c>
      <c r="H496" s="296" t="str">
        <f t="shared" ca="1" si="57"/>
        <v>RS.CO-220</v>
      </c>
    </row>
    <row r="497" spans="1:8" ht="14" x14ac:dyDescent="0.3">
      <c r="A497" s="293">
        <v>584</v>
      </c>
      <c r="B497" s="293" t="s">
        <v>1229</v>
      </c>
      <c r="C497" s="293" t="e">
        <v>#N/A</v>
      </c>
      <c r="D497" s="295" t="s">
        <v>268</v>
      </c>
      <c r="E497" s="293">
        <v>2</v>
      </c>
      <c r="F497" s="250">
        <f ca="1">VLOOKUP($D497,Data!$C:$I,7,FALSE)</f>
        <v>0</v>
      </c>
      <c r="G497" s="296" t="str">
        <f t="shared" si="56"/>
        <v>RS.CO-32</v>
      </c>
      <c r="H497" s="296" t="str">
        <f t="shared" ca="1" si="57"/>
        <v>RS.CO-320</v>
      </c>
    </row>
    <row r="498" spans="1:8" ht="14" x14ac:dyDescent="0.3">
      <c r="A498" s="293">
        <v>585</v>
      </c>
      <c r="B498" s="293" t="s">
        <v>1231</v>
      </c>
      <c r="C498" s="293" t="e">
        <v>#N/A</v>
      </c>
      <c r="D498" s="295" t="s">
        <v>268</v>
      </c>
      <c r="E498" s="293">
        <v>2</v>
      </c>
      <c r="F498" s="250">
        <f ca="1">VLOOKUP($D498,Data!$C:$I,7,FALSE)</f>
        <v>0</v>
      </c>
      <c r="G498" s="296" t="str">
        <f t="shared" si="56"/>
        <v>RS.CO-42</v>
      </c>
      <c r="H498" s="296" t="str">
        <f t="shared" ca="1" si="57"/>
        <v>RS.CO-420</v>
      </c>
    </row>
    <row r="499" spans="1:8" ht="14" x14ac:dyDescent="0.3">
      <c r="A499" s="293">
        <v>586</v>
      </c>
      <c r="B499" s="293" t="s">
        <v>1250</v>
      </c>
      <c r="C499" s="293" t="e">
        <v>#N/A</v>
      </c>
      <c r="D499" s="295" t="s">
        <v>268</v>
      </c>
      <c r="E499" s="293">
        <v>2</v>
      </c>
      <c r="F499" s="250">
        <f ca="1">VLOOKUP($D499,Data!$C:$I,7,FALSE)</f>
        <v>0</v>
      </c>
      <c r="G499" s="296" t="str">
        <f t="shared" si="56"/>
        <v>RC.CO-32</v>
      </c>
      <c r="H499" s="296" t="str">
        <f t="shared" ca="1" si="57"/>
        <v>RC.CO-320</v>
      </c>
    </row>
    <row r="500" spans="1:8" ht="14" x14ac:dyDescent="0.3">
      <c r="A500" s="293">
        <v>587</v>
      </c>
      <c r="B500" s="295" t="s">
        <v>1162</v>
      </c>
      <c r="C500" s="293" t="e">
        <v>#N/A</v>
      </c>
      <c r="D500" s="295" t="s">
        <v>275</v>
      </c>
      <c r="E500" s="293">
        <v>2</v>
      </c>
      <c r="F500" s="250">
        <f ca="1">VLOOKUP($D500,Data!$C:$I,7,FALSE)</f>
        <v>0</v>
      </c>
      <c r="G500" s="296" t="str">
        <f t="shared" si="56"/>
        <v>PR.IP-92</v>
      </c>
      <c r="H500" s="296" t="str">
        <f t="shared" ca="1" si="57"/>
        <v>PR.IP-920</v>
      </c>
    </row>
    <row r="501" spans="1:8" ht="14" x14ac:dyDescent="0.3">
      <c r="A501" s="293">
        <v>588</v>
      </c>
      <c r="B501" s="293" t="s">
        <v>1228</v>
      </c>
      <c r="C501" s="293" t="e">
        <v>#N/A</v>
      </c>
      <c r="D501" s="295" t="s">
        <v>275</v>
      </c>
      <c r="E501" s="293">
        <v>2</v>
      </c>
      <c r="F501" s="250">
        <f ca="1">VLOOKUP($D501,Data!$C:$I,7,FALSE)</f>
        <v>0</v>
      </c>
      <c r="G501" s="296" t="str">
        <f t="shared" si="56"/>
        <v>RS.CO-22</v>
      </c>
      <c r="H501" s="296" t="str">
        <f t="shared" ca="1" si="57"/>
        <v>RS.CO-220</v>
      </c>
    </row>
    <row r="502" spans="1:8" ht="14" x14ac:dyDescent="0.3">
      <c r="A502" s="293">
        <v>589</v>
      </c>
      <c r="B502" s="293" t="s">
        <v>1229</v>
      </c>
      <c r="C502" s="293" t="e">
        <v>#N/A</v>
      </c>
      <c r="D502" s="295" t="s">
        <v>275</v>
      </c>
      <c r="E502" s="293">
        <v>2</v>
      </c>
      <c r="F502" s="250">
        <f ca="1">VLOOKUP($D502,Data!$C:$I,7,FALSE)</f>
        <v>0</v>
      </c>
      <c r="G502" s="296" t="str">
        <f t="shared" si="56"/>
        <v>RS.CO-32</v>
      </c>
      <c r="H502" s="296" t="str">
        <f t="shared" ca="1" si="57"/>
        <v>RS.CO-320</v>
      </c>
    </row>
    <row r="503" spans="1:8" ht="14" x14ac:dyDescent="0.3">
      <c r="A503" s="293">
        <v>590</v>
      </c>
      <c r="B503" s="293" t="s">
        <v>1231</v>
      </c>
      <c r="C503" s="293" t="e">
        <v>#N/A</v>
      </c>
      <c r="D503" s="295" t="s">
        <v>275</v>
      </c>
      <c r="E503" s="293">
        <v>2</v>
      </c>
      <c r="F503" s="250">
        <f ca="1">VLOOKUP($D503,Data!$C:$I,7,FALSE)</f>
        <v>0</v>
      </c>
      <c r="G503" s="296" t="str">
        <f t="shared" si="56"/>
        <v>RS.CO-42</v>
      </c>
      <c r="H503" s="296" t="str">
        <f t="shared" ca="1" si="57"/>
        <v>RS.CO-420</v>
      </c>
    </row>
    <row r="504" spans="1:8" ht="14" x14ac:dyDescent="0.3">
      <c r="A504" s="293">
        <v>591</v>
      </c>
      <c r="B504" s="293" t="s">
        <v>1245</v>
      </c>
      <c r="C504" s="293" t="e">
        <v>#N/A</v>
      </c>
      <c r="D504" s="295" t="s">
        <v>275</v>
      </c>
      <c r="E504" s="293">
        <v>2</v>
      </c>
      <c r="F504" s="250">
        <f ca="1">VLOOKUP($D504,Data!$C:$I,7,FALSE)</f>
        <v>0</v>
      </c>
      <c r="G504" s="296" t="str">
        <f t="shared" si="56"/>
        <v>RC.RP-12</v>
      </c>
      <c r="H504" s="296" t="str">
        <f t="shared" ca="1" si="57"/>
        <v>RC.RP-120</v>
      </c>
    </row>
    <row r="505" spans="1:8" ht="14" x14ac:dyDescent="0.3">
      <c r="A505" s="293">
        <v>592</v>
      </c>
      <c r="B505" s="295" t="s">
        <v>1236</v>
      </c>
      <c r="C505" s="293" t="e">
        <v>#N/A</v>
      </c>
      <c r="D505" s="295" t="s">
        <v>281</v>
      </c>
      <c r="E505" s="293">
        <v>3</v>
      </c>
      <c r="F505" s="250">
        <f ca="1">VLOOKUP($D505,Data!$C:$I,7,FALSE)</f>
        <v>0</v>
      </c>
      <c r="G505" s="296" t="str">
        <f t="shared" si="56"/>
        <v>RS.AN-43</v>
      </c>
      <c r="H505" s="296" t="str">
        <f t="shared" ca="1" si="57"/>
        <v>RS.AN-430</v>
      </c>
    </row>
    <row r="506" spans="1:8" ht="14" x14ac:dyDescent="0.3">
      <c r="A506" s="293">
        <v>593</v>
      </c>
      <c r="B506" s="293" t="s">
        <v>1245</v>
      </c>
      <c r="C506" s="293" t="e">
        <v>#N/A</v>
      </c>
      <c r="D506" s="295" t="s">
        <v>281</v>
      </c>
      <c r="E506" s="293">
        <v>3</v>
      </c>
      <c r="F506" s="250">
        <f ca="1">VLOOKUP($D506,Data!$C:$I,7,FALSE)</f>
        <v>0</v>
      </c>
      <c r="G506" s="296" t="str">
        <f t="shared" si="56"/>
        <v>RC.RP-13</v>
      </c>
      <c r="H506" s="296" t="str">
        <f t="shared" ca="1" si="57"/>
        <v>RC.RP-130</v>
      </c>
    </row>
    <row r="507" spans="1:8" ht="14" x14ac:dyDescent="0.3">
      <c r="A507" s="293">
        <v>594</v>
      </c>
      <c r="B507" s="295" t="s">
        <v>988</v>
      </c>
      <c r="C507" s="293" t="e">
        <v>#N/A</v>
      </c>
      <c r="D507" s="295" t="s">
        <v>307</v>
      </c>
      <c r="E507" s="293">
        <v>3</v>
      </c>
      <c r="F507" s="250">
        <f ca="1">VLOOKUP($D507,Data!$C:$I,7,FALSE)</f>
        <v>0</v>
      </c>
      <c r="G507" s="296" t="str">
        <f t="shared" si="56"/>
        <v>ID.SC-33</v>
      </c>
      <c r="H507" s="296" t="str">
        <f t="shared" ca="1" si="57"/>
        <v>ID.SC-330</v>
      </c>
    </row>
    <row r="508" spans="1:8" ht="14" x14ac:dyDescent="0.3">
      <c r="A508" s="293">
        <v>595</v>
      </c>
      <c r="B508" s="295" t="s">
        <v>1083</v>
      </c>
      <c r="C508" s="293" t="e">
        <v>#N/A</v>
      </c>
      <c r="D508" s="295" t="s">
        <v>308</v>
      </c>
      <c r="E508" s="293">
        <v>3</v>
      </c>
      <c r="F508" s="250">
        <f ca="1">VLOOKUP($D508,Data!$C:$I,7,FALSE)</f>
        <v>0</v>
      </c>
      <c r="G508" s="296" t="str">
        <f t="shared" si="56"/>
        <v>ID.SC-23</v>
      </c>
      <c r="H508" s="296" t="str">
        <f t="shared" ca="1" si="57"/>
        <v>ID.SC-230</v>
      </c>
    </row>
    <row r="509" spans="1:8" ht="14" x14ac:dyDescent="0.3">
      <c r="A509" s="293">
        <v>596</v>
      </c>
      <c r="B509" s="293" t="s">
        <v>988</v>
      </c>
      <c r="C509" s="293" t="e">
        <v>#N/A</v>
      </c>
      <c r="D509" s="295" t="s">
        <v>308</v>
      </c>
      <c r="E509" s="293">
        <v>3</v>
      </c>
      <c r="F509" s="250">
        <f ca="1">VLOOKUP($D509,Data!$C:$I,7,FALSE)</f>
        <v>0</v>
      </c>
      <c r="G509" s="296" t="str">
        <f t="shared" si="56"/>
        <v>ID.SC-33</v>
      </c>
      <c r="H509" s="296" t="str">
        <f t="shared" ca="1" si="57"/>
        <v>ID.SC-330</v>
      </c>
    </row>
    <row r="510" spans="1:8" ht="14" x14ac:dyDescent="0.3">
      <c r="A510" s="293">
        <v>597</v>
      </c>
      <c r="B510" s="293" t="s">
        <v>1000</v>
      </c>
      <c r="C510" s="293" t="e">
        <v>#N/A</v>
      </c>
      <c r="D510" s="295" t="s">
        <v>308</v>
      </c>
      <c r="E510" s="293">
        <v>3</v>
      </c>
      <c r="F510" s="250">
        <f ca="1">VLOOKUP($D510,Data!$C:$I,7,FALSE)</f>
        <v>0</v>
      </c>
      <c r="G510" s="296" t="str">
        <f t="shared" si="56"/>
        <v>DE.CM-53</v>
      </c>
      <c r="H510" s="296" t="str">
        <f t="shared" ca="1" si="57"/>
        <v>DE.CM-530</v>
      </c>
    </row>
    <row r="511" spans="1:8" ht="14" x14ac:dyDescent="0.3">
      <c r="A511" s="293">
        <v>598</v>
      </c>
      <c r="B511" s="295" t="s">
        <v>1113</v>
      </c>
      <c r="C511" s="293" t="e">
        <v>#N/A</v>
      </c>
      <c r="D511" s="295" t="s">
        <v>349</v>
      </c>
      <c r="E511" s="293">
        <v>1</v>
      </c>
      <c r="F511" s="250">
        <f ca="1">VLOOKUP($D511,Data!$C:$I,7,FALSE)</f>
        <v>0</v>
      </c>
      <c r="G511" s="296" t="str">
        <f t="shared" si="56"/>
        <v>PR.AC-51</v>
      </c>
      <c r="H511" s="296" t="str">
        <f t="shared" ca="1" si="57"/>
        <v>PR.AC-510</v>
      </c>
    </row>
    <row r="512" spans="1:8" ht="14" x14ac:dyDescent="0.3">
      <c r="A512" s="293">
        <v>599</v>
      </c>
      <c r="B512" s="295" t="s">
        <v>1113</v>
      </c>
      <c r="C512" s="293" t="e">
        <v>#N/A</v>
      </c>
      <c r="D512" s="295" t="s">
        <v>350</v>
      </c>
      <c r="E512" s="293">
        <v>2</v>
      </c>
      <c r="F512" s="250">
        <f ca="1">VLOOKUP($D512,Data!$C:$I,7,FALSE)</f>
        <v>0</v>
      </c>
      <c r="G512" s="296" t="str">
        <f t="shared" si="56"/>
        <v>PR.AC-52</v>
      </c>
      <c r="H512" s="296" t="str">
        <f t="shared" ca="1" si="57"/>
        <v>PR.AC-520</v>
      </c>
    </row>
    <row r="513" spans="1:8" ht="14" x14ac:dyDescent="0.3">
      <c r="A513" s="293">
        <v>600</v>
      </c>
      <c r="B513" s="295" t="s">
        <v>1113</v>
      </c>
      <c r="C513" s="293" t="e">
        <v>#N/A</v>
      </c>
      <c r="D513" s="295" t="s">
        <v>353</v>
      </c>
      <c r="E513" s="293">
        <v>2</v>
      </c>
      <c r="F513" s="250">
        <f ca="1">VLOOKUP($D513,Data!$C:$I,7,FALSE)</f>
        <v>0</v>
      </c>
      <c r="G513" s="296" t="str">
        <f t="shared" si="56"/>
        <v>PR.AC-52</v>
      </c>
      <c r="H513" s="296" t="str">
        <f t="shared" ca="1" si="57"/>
        <v>PR.AC-520</v>
      </c>
    </row>
    <row r="514" spans="1:8" ht="14" x14ac:dyDescent="0.3">
      <c r="A514" s="293">
        <v>601</v>
      </c>
      <c r="B514" s="293" t="s">
        <v>1139</v>
      </c>
      <c r="C514" s="293" t="e">
        <v>#N/A</v>
      </c>
      <c r="D514" s="295" t="s">
        <v>353</v>
      </c>
      <c r="E514" s="293">
        <v>2</v>
      </c>
      <c r="F514" s="250">
        <f ca="1">VLOOKUP($D514,Data!$C:$I,7,FALSE)</f>
        <v>0</v>
      </c>
      <c r="G514" s="296" t="str">
        <f t="shared" ref="G514:G553" si="58">CONCATENATE($B514,$E514)</f>
        <v>PR.DS-42</v>
      </c>
      <c r="H514" s="296" t="str">
        <f t="shared" ref="H514:H553" ca="1" si="59">_xlfn.IFNA(CONCATENATE($B514,$E514,$F514),CONCATENATE($B514,$E514,0))</f>
        <v>PR.DS-420</v>
      </c>
    </row>
    <row r="515" spans="1:8" ht="14" x14ac:dyDescent="0.3">
      <c r="A515" s="293">
        <v>602</v>
      </c>
      <c r="B515" s="295" t="s">
        <v>1139</v>
      </c>
      <c r="C515" s="293" t="e">
        <v>#N/A</v>
      </c>
      <c r="D515" s="295" t="s">
        <v>356</v>
      </c>
      <c r="E515" s="293">
        <v>3</v>
      </c>
      <c r="F515" s="250">
        <f ca="1">VLOOKUP($D515,Data!$C:$I,7,FALSE)</f>
        <v>0</v>
      </c>
      <c r="G515" s="296" t="str">
        <f t="shared" si="58"/>
        <v>PR.DS-43</v>
      </c>
      <c r="H515" s="296" t="str">
        <f t="shared" ca="1" si="59"/>
        <v>PR.DS-430</v>
      </c>
    </row>
    <row r="516" spans="1:8" ht="14" x14ac:dyDescent="0.3">
      <c r="A516" s="293">
        <v>603</v>
      </c>
      <c r="B516" s="295" t="s">
        <v>1113</v>
      </c>
      <c r="C516" s="293" t="e">
        <v>#N/A</v>
      </c>
      <c r="D516" s="295" t="s">
        <v>359</v>
      </c>
      <c r="E516" s="293">
        <v>2</v>
      </c>
      <c r="F516" s="250">
        <f ca="1">VLOOKUP($D516,Data!$C:$I,7,FALSE)</f>
        <v>0</v>
      </c>
      <c r="G516" s="296" t="str">
        <f t="shared" si="58"/>
        <v>PR.AC-52</v>
      </c>
      <c r="H516" s="296" t="str">
        <f t="shared" ca="1" si="59"/>
        <v>PR.AC-520</v>
      </c>
    </row>
    <row r="517" spans="1:8" ht="14" x14ac:dyDescent="0.3">
      <c r="A517" s="293">
        <v>604</v>
      </c>
      <c r="B517" s="293" t="s">
        <v>1189</v>
      </c>
      <c r="C517" s="293" t="e">
        <v>#N/A</v>
      </c>
      <c r="D517" s="295" t="s">
        <v>359</v>
      </c>
      <c r="E517" s="293">
        <v>2</v>
      </c>
      <c r="F517" s="250">
        <f ca="1">VLOOKUP($D517,Data!$C:$I,7,FALSE)</f>
        <v>0</v>
      </c>
      <c r="G517" s="296" t="str">
        <f t="shared" si="58"/>
        <v>PR.PT-42</v>
      </c>
      <c r="H517" s="296" t="str">
        <f t="shared" ca="1" si="59"/>
        <v>PR.PT-420</v>
      </c>
    </row>
    <row r="518" spans="1:8" ht="14" x14ac:dyDescent="0.3">
      <c r="A518" s="293">
        <v>605</v>
      </c>
      <c r="B518" s="295" t="s">
        <v>1113</v>
      </c>
      <c r="C518" s="293" t="e">
        <v>#N/A</v>
      </c>
      <c r="D518" s="295" t="s">
        <v>360</v>
      </c>
      <c r="E518" s="293">
        <v>3</v>
      </c>
      <c r="F518" s="250">
        <f ca="1">VLOOKUP($D518,Data!$C:$I,7,FALSE)</f>
        <v>0</v>
      </c>
      <c r="G518" s="296" t="str">
        <f t="shared" si="58"/>
        <v>PR.AC-53</v>
      </c>
      <c r="H518" s="296" t="str">
        <f t="shared" ca="1" si="59"/>
        <v>PR.AC-530</v>
      </c>
    </row>
    <row r="519" spans="1:8" ht="14" x14ac:dyDescent="0.3">
      <c r="A519" s="293">
        <v>606</v>
      </c>
      <c r="B519" s="293" t="s">
        <v>1189</v>
      </c>
      <c r="C519" s="293" t="e">
        <v>#N/A</v>
      </c>
      <c r="D519" s="295" t="s">
        <v>360</v>
      </c>
      <c r="E519" s="293">
        <v>3</v>
      </c>
      <c r="F519" s="250">
        <f ca="1">VLOOKUP($D519,Data!$C:$I,7,FALSE)</f>
        <v>0</v>
      </c>
      <c r="G519" s="296" t="str">
        <f t="shared" si="58"/>
        <v>PR.PT-43</v>
      </c>
      <c r="H519" s="296" t="str">
        <f t="shared" ca="1" si="59"/>
        <v>PR.PT-430</v>
      </c>
    </row>
    <row r="520" spans="1:8" ht="14" x14ac:dyDescent="0.3">
      <c r="A520" s="293">
        <v>607</v>
      </c>
      <c r="B520" s="295" t="s">
        <v>1142</v>
      </c>
      <c r="C520" s="293" t="e">
        <v>#N/A</v>
      </c>
      <c r="D520" s="295" t="s">
        <v>363</v>
      </c>
      <c r="E520" s="293">
        <v>3</v>
      </c>
      <c r="F520" s="250">
        <f ca="1">VLOOKUP($D520,Data!$C:$I,7,FALSE)</f>
        <v>0</v>
      </c>
      <c r="G520" s="296" t="str">
        <f t="shared" si="58"/>
        <v>PR.DS-63</v>
      </c>
      <c r="H520" s="296" t="str">
        <f t="shared" ca="1" si="59"/>
        <v>PR.DS-630</v>
      </c>
    </row>
    <row r="521" spans="1:8" ht="14" x14ac:dyDescent="0.3">
      <c r="A521" s="293">
        <v>608</v>
      </c>
      <c r="B521" s="293" t="s">
        <v>1156</v>
      </c>
      <c r="C521" s="293" t="e">
        <v>#N/A</v>
      </c>
      <c r="D521" s="295" t="s">
        <v>363</v>
      </c>
      <c r="E521" s="293">
        <v>3</v>
      </c>
      <c r="F521" s="250">
        <f ca="1">VLOOKUP($D521,Data!$C:$I,7,FALSE)</f>
        <v>0</v>
      </c>
      <c r="G521" s="296" t="str">
        <f t="shared" si="58"/>
        <v>PR.IP-33</v>
      </c>
      <c r="H521" s="296" t="str">
        <f t="shared" ca="1" si="59"/>
        <v>PR.IP-330</v>
      </c>
    </row>
    <row r="522" spans="1:8" ht="14" x14ac:dyDescent="0.3">
      <c r="A522" s="293">
        <v>609</v>
      </c>
      <c r="B522" s="295" t="s">
        <v>1212</v>
      </c>
      <c r="C522" s="293" t="e">
        <v>#N/A</v>
      </c>
      <c r="D522" s="295" t="s">
        <v>364</v>
      </c>
      <c r="E522" s="293">
        <v>3</v>
      </c>
      <c r="F522" s="250">
        <f ca="1">VLOOKUP($D522,Data!$C:$I,7,FALSE)</f>
        <v>0</v>
      </c>
      <c r="G522" s="296" t="str">
        <f t="shared" si="58"/>
        <v>DE.CM-43</v>
      </c>
      <c r="H522" s="296" t="str">
        <f t="shared" ca="1" si="59"/>
        <v>DE.CM-430</v>
      </c>
    </row>
    <row r="523" spans="1:8" ht="14" x14ac:dyDescent="0.3">
      <c r="A523" s="293">
        <v>610</v>
      </c>
      <c r="B523" s="293" t="s">
        <v>1000</v>
      </c>
      <c r="C523" s="293" t="e">
        <v>#N/A</v>
      </c>
      <c r="D523" s="295" t="s">
        <v>364</v>
      </c>
      <c r="E523" s="293">
        <v>3</v>
      </c>
      <c r="F523" s="250">
        <f ca="1">VLOOKUP($D523,Data!$C:$I,7,FALSE)</f>
        <v>0</v>
      </c>
      <c r="G523" s="296" t="str">
        <f t="shared" si="58"/>
        <v>DE.CM-53</v>
      </c>
      <c r="H523" s="296" t="str">
        <f t="shared" ca="1" si="59"/>
        <v>DE.CM-530</v>
      </c>
    </row>
    <row r="524" spans="1:8" ht="14" x14ac:dyDescent="0.3">
      <c r="A524" s="293">
        <v>611</v>
      </c>
      <c r="B524" s="295" t="s">
        <v>1127</v>
      </c>
      <c r="C524" s="293" t="e">
        <v>#N/A</v>
      </c>
      <c r="D524" s="295" t="s">
        <v>365</v>
      </c>
      <c r="E524" s="293">
        <v>1</v>
      </c>
      <c r="F524" s="250">
        <f ca="1">VLOOKUP($D524,Data!$C:$I,7,FALSE)</f>
        <v>0</v>
      </c>
      <c r="G524" s="296" t="str">
        <f t="shared" si="58"/>
        <v>PR.DS-11</v>
      </c>
      <c r="H524" s="296" t="str">
        <f t="shared" ca="1" si="59"/>
        <v>PR.DS-110</v>
      </c>
    </row>
    <row r="525" spans="1:8" ht="14" x14ac:dyDescent="0.3">
      <c r="A525" s="293">
        <v>612</v>
      </c>
      <c r="B525" s="293" t="s">
        <v>1140</v>
      </c>
      <c r="C525" s="293" t="e">
        <v>#N/A</v>
      </c>
      <c r="D525" s="295" t="s">
        <v>365</v>
      </c>
      <c r="E525" s="293">
        <v>1</v>
      </c>
      <c r="F525" s="250">
        <f ca="1">VLOOKUP($D525,Data!$C:$I,7,FALSE)</f>
        <v>0</v>
      </c>
      <c r="G525" s="296" t="str">
        <f t="shared" si="58"/>
        <v>PR.DS-51</v>
      </c>
      <c r="H525" s="296" t="str">
        <f t="shared" ca="1" si="59"/>
        <v>PR.DS-510</v>
      </c>
    </row>
    <row r="526" spans="1:8" ht="14" x14ac:dyDescent="0.3">
      <c r="A526" s="293">
        <v>613</v>
      </c>
      <c r="B526" s="295" t="s">
        <v>1130</v>
      </c>
      <c r="C526" s="293" t="e">
        <v>#N/A</v>
      </c>
      <c r="D526" s="295" t="s">
        <v>366</v>
      </c>
      <c r="E526" s="293">
        <v>1</v>
      </c>
      <c r="F526" s="250">
        <f ca="1">VLOOKUP($D526,Data!$C:$I,7,FALSE)</f>
        <v>0</v>
      </c>
      <c r="G526" s="296" t="str">
        <f t="shared" si="58"/>
        <v>PR.DS-21</v>
      </c>
      <c r="H526" s="296" t="str">
        <f t="shared" ca="1" si="59"/>
        <v>PR.DS-210</v>
      </c>
    </row>
    <row r="527" spans="1:8" ht="14" x14ac:dyDescent="0.3">
      <c r="A527" s="293">
        <v>614</v>
      </c>
      <c r="B527" s="293" t="s">
        <v>1140</v>
      </c>
      <c r="C527" s="293" t="e">
        <v>#N/A</v>
      </c>
      <c r="D527" s="295" t="s">
        <v>366</v>
      </c>
      <c r="E527" s="293">
        <v>1</v>
      </c>
      <c r="F527" s="250">
        <f ca="1">VLOOKUP($D527,Data!$C:$I,7,FALSE)</f>
        <v>0</v>
      </c>
      <c r="G527" s="296" t="str">
        <f t="shared" si="58"/>
        <v>PR.DS-51</v>
      </c>
      <c r="H527" s="296" t="str">
        <f t="shared" ca="1" si="59"/>
        <v>PR.DS-510</v>
      </c>
    </row>
    <row r="528" spans="1:8" ht="14" x14ac:dyDescent="0.3">
      <c r="A528" s="293">
        <v>615</v>
      </c>
      <c r="B528" s="295" t="s">
        <v>1127</v>
      </c>
      <c r="C528" s="293" t="e">
        <v>#N/A</v>
      </c>
      <c r="D528" s="295" t="s">
        <v>367</v>
      </c>
      <c r="E528" s="293">
        <v>2</v>
      </c>
      <c r="F528" s="250">
        <f ca="1">VLOOKUP($D528,Data!$C:$I,7,FALSE)</f>
        <v>0</v>
      </c>
      <c r="G528" s="296" t="str">
        <f t="shared" si="58"/>
        <v>PR.DS-12</v>
      </c>
      <c r="H528" s="296" t="str">
        <f t="shared" ca="1" si="59"/>
        <v>PR.DS-120</v>
      </c>
    </row>
    <row r="529" spans="1:8" ht="14" x14ac:dyDescent="0.3">
      <c r="A529" s="293">
        <v>616</v>
      </c>
      <c r="B529" s="293" t="s">
        <v>1130</v>
      </c>
      <c r="C529" s="293" t="e">
        <v>#N/A</v>
      </c>
      <c r="D529" s="295" t="s">
        <v>367</v>
      </c>
      <c r="E529" s="293">
        <v>2</v>
      </c>
      <c r="F529" s="250">
        <f ca="1">VLOOKUP($D529,Data!$C:$I,7,FALSE)</f>
        <v>0</v>
      </c>
      <c r="G529" s="296" t="str">
        <f t="shared" si="58"/>
        <v>PR.DS-22</v>
      </c>
      <c r="H529" s="296" t="str">
        <f t="shared" ca="1" si="59"/>
        <v>PR.DS-220</v>
      </c>
    </row>
    <row r="530" spans="1:8" ht="14" x14ac:dyDescent="0.3">
      <c r="A530" s="293">
        <v>617</v>
      </c>
      <c r="B530" s="293" t="s">
        <v>1140</v>
      </c>
      <c r="C530" s="293" t="e">
        <v>#N/A</v>
      </c>
      <c r="D530" s="295" t="s">
        <v>367</v>
      </c>
      <c r="E530" s="293">
        <v>2</v>
      </c>
      <c r="F530" s="250">
        <f ca="1">VLOOKUP($D530,Data!$C:$I,7,FALSE)</f>
        <v>0</v>
      </c>
      <c r="G530" s="296" t="str">
        <f t="shared" si="58"/>
        <v>PR.DS-52</v>
      </c>
      <c r="H530" s="296" t="str">
        <f t="shared" ca="1" si="59"/>
        <v>PR.DS-520</v>
      </c>
    </row>
    <row r="531" spans="1:8" ht="14" x14ac:dyDescent="0.3">
      <c r="A531" s="293">
        <v>618</v>
      </c>
      <c r="B531" s="295" t="s">
        <v>1127</v>
      </c>
      <c r="C531" s="293" t="e">
        <v>#N/A</v>
      </c>
      <c r="D531" s="295" t="s">
        <v>368</v>
      </c>
      <c r="E531" s="293">
        <v>2</v>
      </c>
      <c r="F531" s="250">
        <f ca="1">VLOOKUP($D531,Data!$C:$I,7,FALSE)</f>
        <v>0</v>
      </c>
      <c r="G531" s="296" t="str">
        <f t="shared" si="58"/>
        <v>PR.DS-12</v>
      </c>
      <c r="H531" s="296" t="str">
        <f t="shared" ca="1" si="59"/>
        <v>PR.DS-120</v>
      </c>
    </row>
    <row r="532" spans="1:8" ht="14" x14ac:dyDescent="0.3">
      <c r="A532" s="293">
        <v>619</v>
      </c>
      <c r="B532" s="293" t="s">
        <v>1130</v>
      </c>
      <c r="C532" s="293" t="e">
        <v>#N/A</v>
      </c>
      <c r="D532" s="295" t="s">
        <v>368</v>
      </c>
      <c r="E532" s="293">
        <v>2</v>
      </c>
      <c r="F532" s="250">
        <f ca="1">VLOOKUP($D532,Data!$C:$I,7,FALSE)</f>
        <v>0</v>
      </c>
      <c r="G532" s="296" t="str">
        <f t="shared" si="58"/>
        <v>PR.DS-22</v>
      </c>
      <c r="H532" s="296" t="str">
        <f t="shared" ca="1" si="59"/>
        <v>PR.DS-220</v>
      </c>
    </row>
    <row r="533" spans="1:8" ht="14" x14ac:dyDescent="0.3">
      <c r="A533" s="293">
        <v>620</v>
      </c>
      <c r="B533" s="293" t="s">
        <v>1140</v>
      </c>
      <c r="C533" s="293" t="e">
        <v>#N/A</v>
      </c>
      <c r="D533" s="295" t="s">
        <v>368</v>
      </c>
      <c r="E533" s="293">
        <v>2</v>
      </c>
      <c r="F533" s="250">
        <f ca="1">VLOOKUP($D533,Data!$C:$I,7,FALSE)</f>
        <v>0</v>
      </c>
      <c r="G533" s="296" t="str">
        <f t="shared" si="58"/>
        <v>PR.DS-52</v>
      </c>
      <c r="H533" s="296" t="str">
        <f t="shared" ca="1" si="59"/>
        <v>PR.DS-520</v>
      </c>
    </row>
    <row r="534" spans="1:8" ht="14" x14ac:dyDescent="0.3">
      <c r="A534" s="293">
        <v>621</v>
      </c>
      <c r="B534" s="295" t="s">
        <v>1113</v>
      </c>
      <c r="C534" s="293" t="e">
        <v>#N/A</v>
      </c>
      <c r="D534" s="295" t="s">
        <v>369</v>
      </c>
      <c r="E534" s="293">
        <v>2</v>
      </c>
      <c r="F534" s="250">
        <f ca="1">VLOOKUP($D534,Data!$C:$I,7,FALSE)</f>
        <v>0</v>
      </c>
      <c r="G534" s="296" t="str">
        <f t="shared" si="58"/>
        <v>PR.AC-52</v>
      </c>
      <c r="H534" s="296" t="str">
        <f t="shared" ca="1" si="59"/>
        <v>PR.AC-520</v>
      </c>
    </row>
    <row r="535" spans="1:8" ht="14" x14ac:dyDescent="0.3">
      <c r="A535" s="293">
        <v>622</v>
      </c>
      <c r="B535" s="293" t="s">
        <v>1189</v>
      </c>
      <c r="C535" s="293" t="e">
        <v>#N/A</v>
      </c>
      <c r="D535" s="295" t="s">
        <v>369</v>
      </c>
      <c r="E535" s="293">
        <v>2</v>
      </c>
      <c r="F535" s="250">
        <f ca="1">VLOOKUP($D535,Data!$C:$I,7,FALSE)</f>
        <v>0</v>
      </c>
      <c r="G535" s="296" t="str">
        <f t="shared" si="58"/>
        <v>PR.PT-42</v>
      </c>
      <c r="H535" s="296" t="str">
        <f t="shared" ca="1" si="59"/>
        <v>PR.PT-420</v>
      </c>
    </row>
    <row r="536" spans="1:8" ht="14" x14ac:dyDescent="0.3">
      <c r="A536" s="293">
        <v>623</v>
      </c>
      <c r="B536" s="295" t="s">
        <v>1127</v>
      </c>
      <c r="C536" s="293" t="e">
        <v>#N/A</v>
      </c>
      <c r="D536" s="295" t="s">
        <v>370</v>
      </c>
      <c r="E536" s="293">
        <v>3</v>
      </c>
      <c r="F536" s="250">
        <f ca="1">VLOOKUP($D536,Data!$C:$I,7,FALSE)</f>
        <v>0</v>
      </c>
      <c r="G536" s="296" t="str">
        <f t="shared" si="58"/>
        <v>PR.DS-13</v>
      </c>
      <c r="H536" s="296" t="str">
        <f t="shared" ca="1" si="59"/>
        <v>PR.DS-130</v>
      </c>
    </row>
    <row r="537" spans="1:8" ht="14" x14ac:dyDescent="0.3">
      <c r="A537" s="293">
        <v>624</v>
      </c>
      <c r="B537" s="293" t="s">
        <v>1140</v>
      </c>
      <c r="C537" s="293" t="e">
        <v>#N/A</v>
      </c>
      <c r="D537" s="295" t="s">
        <v>370</v>
      </c>
      <c r="E537" s="293">
        <v>3</v>
      </c>
      <c r="F537" s="250">
        <f ca="1">VLOOKUP($D537,Data!$C:$I,7,FALSE)</f>
        <v>0</v>
      </c>
      <c r="G537" s="296" t="str">
        <f t="shared" si="58"/>
        <v>PR.DS-53</v>
      </c>
      <c r="H537" s="296" t="str">
        <f t="shared" ca="1" si="59"/>
        <v>PR.DS-530</v>
      </c>
    </row>
    <row r="538" spans="1:8" ht="14" x14ac:dyDescent="0.3">
      <c r="A538" s="293">
        <v>625</v>
      </c>
      <c r="B538" s="295" t="s">
        <v>1130</v>
      </c>
      <c r="C538" s="293" t="e">
        <v>#N/A</v>
      </c>
      <c r="D538" s="295" t="s">
        <v>371</v>
      </c>
      <c r="E538" s="293">
        <v>3</v>
      </c>
      <c r="F538" s="250">
        <f ca="1">VLOOKUP($D538,Data!$C:$I,7,FALSE)</f>
        <v>0</v>
      </c>
      <c r="G538" s="296" t="str">
        <f t="shared" si="58"/>
        <v>PR.DS-23</v>
      </c>
      <c r="H538" s="296" t="str">
        <f t="shared" ca="1" si="59"/>
        <v>PR.DS-230</v>
      </c>
    </row>
    <row r="539" spans="1:8" ht="14" x14ac:dyDescent="0.3">
      <c r="A539" s="293">
        <v>626</v>
      </c>
      <c r="B539" s="293" t="s">
        <v>1140</v>
      </c>
      <c r="C539" s="293" t="e">
        <v>#N/A</v>
      </c>
      <c r="D539" s="295" t="s">
        <v>371</v>
      </c>
      <c r="E539" s="293">
        <v>3</v>
      </c>
      <c r="F539" s="250">
        <f ca="1">VLOOKUP($D539,Data!$C:$I,7,FALSE)</f>
        <v>0</v>
      </c>
      <c r="G539" s="296" t="str">
        <f t="shared" si="58"/>
        <v>PR.DS-53</v>
      </c>
      <c r="H539" s="296" t="str">
        <f t="shared" ca="1" si="59"/>
        <v>PR.DS-530</v>
      </c>
    </row>
    <row r="540" spans="1:8" ht="14" x14ac:dyDescent="0.3">
      <c r="A540" s="293">
        <v>627</v>
      </c>
      <c r="B540" s="295" t="s">
        <v>1159</v>
      </c>
      <c r="C540" s="293" t="e">
        <v>#N/A</v>
      </c>
      <c r="D540" s="295" t="s">
        <v>372</v>
      </c>
      <c r="E540" s="293">
        <v>3</v>
      </c>
      <c r="F540" s="250">
        <f ca="1">VLOOKUP($D540,Data!$C:$I,7,FALSE)</f>
        <v>0</v>
      </c>
      <c r="G540" s="296" t="str">
        <f t="shared" si="58"/>
        <v>PR.IP-73</v>
      </c>
      <c r="H540" s="296" t="str">
        <f t="shared" ca="1" si="59"/>
        <v>PR.IP-730</v>
      </c>
    </row>
    <row r="541" spans="1:8" ht="14" x14ac:dyDescent="0.3">
      <c r="A541" s="293">
        <v>628</v>
      </c>
      <c r="B541" s="295" t="s">
        <v>1142</v>
      </c>
      <c r="C541" s="293" t="e">
        <v>#N/A</v>
      </c>
      <c r="D541" s="295" t="s">
        <v>374</v>
      </c>
      <c r="E541" s="293">
        <v>3</v>
      </c>
      <c r="F541" s="250">
        <f ca="1">VLOOKUP($D541,Data!$C:$I,7,FALSE)</f>
        <v>0</v>
      </c>
      <c r="G541" s="296" t="str">
        <f t="shared" si="58"/>
        <v>PR.DS-63</v>
      </c>
      <c r="H541" s="296" t="str">
        <f t="shared" ca="1" si="59"/>
        <v>PR.DS-630</v>
      </c>
    </row>
    <row r="542" spans="1:8" ht="14" x14ac:dyDescent="0.3">
      <c r="A542" s="293">
        <v>629</v>
      </c>
      <c r="B542" s="295" t="s">
        <v>1189</v>
      </c>
      <c r="C542" s="293" t="e">
        <v>#N/A</v>
      </c>
      <c r="D542" s="295" t="s">
        <v>380</v>
      </c>
      <c r="E542" s="293">
        <v>3</v>
      </c>
      <c r="F542" s="250">
        <f ca="1">VLOOKUP($D542,Data!$C:$I,7,FALSE)</f>
        <v>0</v>
      </c>
      <c r="G542" s="296" t="str">
        <f t="shared" si="58"/>
        <v>PR.PT-43</v>
      </c>
      <c r="H542" s="296" t="str">
        <f t="shared" ca="1" si="59"/>
        <v>PR.PT-430</v>
      </c>
    </row>
    <row r="543" spans="1:8" ht="14" x14ac:dyDescent="0.3">
      <c r="A543" s="293">
        <v>630</v>
      </c>
      <c r="B543" s="295" t="s">
        <v>986</v>
      </c>
      <c r="C543" s="293" t="e">
        <v>#N/A</v>
      </c>
      <c r="D543" s="295" t="s">
        <v>389</v>
      </c>
      <c r="E543" s="293">
        <v>2</v>
      </c>
      <c r="F543" s="250">
        <f ca="1">VLOOKUP($D543,Data!$C:$I,7,FALSE)</f>
        <v>0</v>
      </c>
      <c r="G543" s="296" t="str">
        <f t="shared" si="58"/>
        <v>ID.GV-32</v>
      </c>
      <c r="H543" s="296" t="str">
        <f t="shared" ca="1" si="59"/>
        <v>ID.GV-320</v>
      </c>
    </row>
    <row r="544" spans="1:8" ht="14" x14ac:dyDescent="0.3">
      <c r="A544" s="293">
        <v>631</v>
      </c>
      <c r="B544" s="295" t="s">
        <v>1019</v>
      </c>
      <c r="C544" s="293" t="e">
        <v>#N/A</v>
      </c>
      <c r="D544" s="295" t="s">
        <v>398</v>
      </c>
      <c r="E544" s="293">
        <v>2</v>
      </c>
      <c r="F544" s="250">
        <f ca="1">VLOOKUP($D544,Data!$C:$I,7,FALSE)</f>
        <v>0</v>
      </c>
      <c r="G544" s="296" t="str">
        <f t="shared" si="58"/>
        <v>ID.AM-62</v>
      </c>
      <c r="H544" s="296" t="str">
        <f t="shared" ca="1" si="59"/>
        <v>ID.AM-620</v>
      </c>
    </row>
    <row r="545" spans="1:8" ht="14" x14ac:dyDescent="0.3">
      <c r="A545" s="293">
        <v>632</v>
      </c>
      <c r="B545" s="295" t="s">
        <v>1157</v>
      </c>
      <c r="C545" s="293" t="e">
        <v>#N/A</v>
      </c>
      <c r="D545" s="295" t="s">
        <v>404</v>
      </c>
      <c r="E545" s="293">
        <v>1</v>
      </c>
      <c r="F545" s="250">
        <f ca="1">VLOOKUP($D545,Data!$C:$I,7,FALSE)</f>
        <v>0</v>
      </c>
      <c r="G545" s="296" t="str">
        <f t="shared" si="58"/>
        <v>PR.IP-41</v>
      </c>
      <c r="H545" s="296" t="str">
        <f t="shared" ca="1" si="59"/>
        <v>PR.IP-410</v>
      </c>
    </row>
    <row r="546" spans="1:8" ht="14" x14ac:dyDescent="0.3">
      <c r="A546" s="293">
        <v>633</v>
      </c>
      <c r="B546" s="295" t="s">
        <v>1190</v>
      </c>
      <c r="C546" s="293" t="e">
        <v>#N/A</v>
      </c>
      <c r="D546" s="295" t="s">
        <v>407</v>
      </c>
      <c r="E546" s="293">
        <v>2</v>
      </c>
      <c r="F546" s="250">
        <f ca="1">VLOOKUP($D546,Data!$C:$I,7,FALSE)</f>
        <v>0</v>
      </c>
      <c r="G546" s="296" t="str">
        <f t="shared" si="58"/>
        <v>PR.PT-52</v>
      </c>
      <c r="H546" s="296" t="str">
        <f t="shared" ca="1" si="59"/>
        <v>PR.PT-520</v>
      </c>
    </row>
    <row r="547" spans="1:8" ht="14" x14ac:dyDescent="0.3">
      <c r="A547" s="293">
        <v>634</v>
      </c>
      <c r="B547" s="293" t="s">
        <v>1030</v>
      </c>
      <c r="C547" s="293" t="e">
        <v>#N/A</v>
      </c>
      <c r="D547" s="295" t="s">
        <v>407</v>
      </c>
      <c r="E547" s="293">
        <v>2</v>
      </c>
      <c r="F547" s="250">
        <f ca="1">VLOOKUP($D547,Data!$C:$I,7,FALSE)</f>
        <v>0</v>
      </c>
      <c r="G547" s="296" t="str">
        <f t="shared" si="58"/>
        <v>ID.BE-52</v>
      </c>
      <c r="H547" s="296" t="str">
        <f t="shared" ca="1" si="59"/>
        <v>ID.BE-520</v>
      </c>
    </row>
    <row r="548" spans="1:8" ht="14" x14ac:dyDescent="0.3">
      <c r="A548" s="293">
        <v>635</v>
      </c>
      <c r="B548" s="293" t="s">
        <v>1157</v>
      </c>
      <c r="C548" s="293" t="e">
        <v>#N/A</v>
      </c>
      <c r="D548" s="295" t="s">
        <v>407</v>
      </c>
      <c r="E548" s="293">
        <v>2</v>
      </c>
      <c r="F548" s="250">
        <f ca="1">VLOOKUP($D548,Data!$C:$I,7,FALSE)</f>
        <v>0</v>
      </c>
      <c r="G548" s="296" t="str">
        <f t="shared" si="58"/>
        <v>PR.IP-42</v>
      </c>
      <c r="H548" s="296" t="str">
        <f t="shared" ca="1" si="59"/>
        <v>PR.IP-420</v>
      </c>
    </row>
    <row r="549" spans="1:8" ht="14" x14ac:dyDescent="0.3">
      <c r="A549" s="293">
        <v>636</v>
      </c>
      <c r="B549" s="293" t="s">
        <v>1162</v>
      </c>
      <c r="C549" s="293" t="e">
        <v>#N/A</v>
      </c>
      <c r="D549" s="295" t="s">
        <v>407</v>
      </c>
      <c r="E549" s="293">
        <v>2</v>
      </c>
      <c r="F549" s="250">
        <f ca="1">VLOOKUP($D549,Data!$C:$I,7,FALSE)</f>
        <v>0</v>
      </c>
      <c r="G549" s="296" t="str">
        <f t="shared" si="58"/>
        <v>PR.IP-92</v>
      </c>
      <c r="H549" s="296" t="str">
        <f t="shared" ca="1" si="59"/>
        <v>PR.IP-920</v>
      </c>
    </row>
    <row r="550" spans="1:8" ht="14" x14ac:dyDescent="0.3">
      <c r="A550" s="293">
        <v>637</v>
      </c>
      <c r="B550" s="295" t="s">
        <v>1245</v>
      </c>
      <c r="C550" s="293" t="e">
        <v>#N/A</v>
      </c>
      <c r="D550" s="295" t="s">
        <v>410</v>
      </c>
      <c r="E550" s="293">
        <v>2</v>
      </c>
      <c r="F550" s="250">
        <f ca="1">VLOOKUP($D550,Data!$C:$I,7,FALSE)</f>
        <v>0</v>
      </c>
      <c r="G550" s="296" t="str">
        <f t="shared" si="58"/>
        <v>RC.RP-12</v>
      </c>
      <c r="H550" s="296" t="str">
        <f t="shared" ca="1" si="59"/>
        <v>RC.RP-120</v>
      </c>
    </row>
    <row r="551" spans="1:8" ht="14" x14ac:dyDescent="0.3">
      <c r="A551" s="293">
        <v>638</v>
      </c>
      <c r="B551" s="293" t="s">
        <v>1162</v>
      </c>
      <c r="C551" s="293" t="e">
        <v>#N/A</v>
      </c>
      <c r="D551" s="295" t="s">
        <v>410</v>
      </c>
      <c r="E551" s="293">
        <v>2</v>
      </c>
      <c r="F551" s="250">
        <f ca="1">VLOOKUP($D551,Data!$C:$I,7,FALSE)</f>
        <v>0</v>
      </c>
      <c r="G551" s="296" t="str">
        <f t="shared" si="58"/>
        <v>PR.IP-92</v>
      </c>
      <c r="H551" s="296" t="str">
        <f t="shared" ca="1" si="59"/>
        <v>PR.IP-920</v>
      </c>
    </row>
    <row r="552" spans="1:8" ht="14" x14ac:dyDescent="0.3">
      <c r="A552" s="293">
        <v>639</v>
      </c>
      <c r="B552" s="295" t="s">
        <v>1170</v>
      </c>
      <c r="C552" s="293" t="e">
        <v>#N/A</v>
      </c>
      <c r="D552" s="295" t="s">
        <v>415</v>
      </c>
      <c r="E552" s="293">
        <v>3</v>
      </c>
      <c r="F552" s="250">
        <f ca="1">VLOOKUP($D552,Data!$C:$I,7,FALSE)</f>
        <v>0</v>
      </c>
      <c r="G552" s="296" t="str">
        <f t="shared" si="58"/>
        <v>PR.IP-103</v>
      </c>
      <c r="H552" s="296" t="str">
        <f t="shared" ca="1" si="59"/>
        <v>PR.IP-1030</v>
      </c>
    </row>
    <row r="553" spans="1:8" ht="14" x14ac:dyDescent="0.3">
      <c r="A553" s="293">
        <v>640</v>
      </c>
      <c r="B553" s="293" t="s">
        <v>1246</v>
      </c>
      <c r="C553" s="293" t="e">
        <v>#N/A</v>
      </c>
      <c r="D553" s="295" t="s">
        <v>415</v>
      </c>
      <c r="E553" s="293">
        <v>3</v>
      </c>
      <c r="F553" s="250">
        <f ca="1">VLOOKUP($D553,Data!$C:$I,7,FALSE)</f>
        <v>0</v>
      </c>
      <c r="G553" s="296" t="str">
        <f t="shared" si="58"/>
        <v>RC.IM-13</v>
      </c>
      <c r="H553" s="296" t="str">
        <f t="shared" ca="1" si="59"/>
        <v>RC.IM-130</v>
      </c>
    </row>
  </sheetData>
  <sheetProtection sheet="1" objects="1" scenarios="1" selectLockedCells="1" selectUnlockedCells="1"/>
  <autoFilter ref="A1:H553">
    <sortState ref="A2:H553">
      <sortCondition ref="A1:A553"/>
    </sortState>
  </autoFilter>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2"/>
  <sheetViews>
    <sheetView workbookViewId="0">
      <selection activeCell="D21" sqref="D21"/>
    </sheetView>
  </sheetViews>
  <sheetFormatPr defaultRowHeight="13.5" x14ac:dyDescent="0.25"/>
  <cols>
    <col min="1" max="1" width="27.640625" customWidth="1"/>
    <col min="2" max="2" width="21" style="2" customWidth="1"/>
    <col min="4" max="6" width="12.640625" customWidth="1"/>
    <col min="7" max="7" width="23.5" customWidth="1"/>
  </cols>
  <sheetData>
    <row r="1" spans="1:7" x14ac:dyDescent="0.25">
      <c r="A1" s="47" t="s">
        <v>2595</v>
      </c>
      <c r="B1" s="121">
        <f>MATCH(Kybermittari!D7,Languages!1:1,0)</f>
        <v>3</v>
      </c>
    </row>
    <row r="2" spans="1:7" x14ac:dyDescent="0.25">
      <c r="A2" s="47" t="s">
        <v>2596</v>
      </c>
      <c r="B2" s="259" t="s">
        <v>1615</v>
      </c>
      <c r="C2" s="261" t="s">
        <v>1608</v>
      </c>
      <c r="D2" s="262" t="s">
        <v>1276</v>
      </c>
      <c r="E2" s="262" t="s">
        <v>1275</v>
      </c>
      <c r="F2" s="263" t="s">
        <v>1277</v>
      </c>
      <c r="G2" s="47" t="s">
        <v>491</v>
      </c>
    </row>
    <row r="3" spans="1:7" x14ac:dyDescent="0.25">
      <c r="A3" t="s">
        <v>492</v>
      </c>
      <c r="B3" s="118">
        <v>0.5</v>
      </c>
      <c r="G3" t="s">
        <v>493</v>
      </c>
    </row>
    <row r="4" spans="1:7" x14ac:dyDescent="0.25">
      <c r="A4" t="s">
        <v>495</v>
      </c>
      <c r="B4" s="2">
        <v>0.3</v>
      </c>
      <c r="G4" t="s">
        <v>496</v>
      </c>
    </row>
    <row r="5" spans="1:7" x14ac:dyDescent="0.25">
      <c r="A5" t="s">
        <v>497</v>
      </c>
      <c r="B5" s="2">
        <v>0.6</v>
      </c>
      <c r="G5" t="s">
        <v>498</v>
      </c>
    </row>
    <row r="6" spans="1:7" x14ac:dyDescent="0.25">
      <c r="A6" t="s">
        <v>499</v>
      </c>
      <c r="B6" s="2">
        <v>0.9</v>
      </c>
      <c r="G6" t="s">
        <v>500</v>
      </c>
    </row>
    <row r="7" spans="1:7" x14ac:dyDescent="0.25">
      <c r="A7" s="47" t="s">
        <v>494</v>
      </c>
      <c r="B7" s="2">
        <v>0</v>
      </c>
      <c r="C7" s="103">
        <v>0</v>
      </c>
      <c r="D7" t="s">
        <v>1609</v>
      </c>
      <c r="E7" t="s">
        <v>1563</v>
      </c>
      <c r="F7" t="s">
        <v>2529</v>
      </c>
    </row>
    <row r="8" spans="1:7" x14ac:dyDescent="0.25">
      <c r="B8" s="2">
        <v>1</v>
      </c>
      <c r="C8" s="103">
        <v>1</v>
      </c>
      <c r="D8" t="s">
        <v>1610</v>
      </c>
      <c r="E8" t="s">
        <v>1567</v>
      </c>
      <c r="F8" t="s">
        <v>2530</v>
      </c>
    </row>
    <row r="9" spans="1:7" x14ac:dyDescent="0.25">
      <c r="B9" s="2">
        <v>2</v>
      </c>
      <c r="C9" s="103">
        <v>2</v>
      </c>
      <c r="D9" t="s">
        <v>1611</v>
      </c>
      <c r="E9" t="s">
        <v>1568</v>
      </c>
      <c r="F9" t="s">
        <v>2531</v>
      </c>
    </row>
    <row r="10" spans="1:7" x14ac:dyDescent="0.25">
      <c r="B10" s="2">
        <v>3</v>
      </c>
      <c r="C10" s="103">
        <v>3</v>
      </c>
      <c r="D10" t="s">
        <v>1612</v>
      </c>
      <c r="E10" t="s">
        <v>1564</v>
      </c>
      <c r="F10" t="s">
        <v>2532</v>
      </c>
    </row>
    <row r="11" spans="1:7" x14ac:dyDescent="0.25">
      <c r="A11" s="47" t="s">
        <v>2476</v>
      </c>
      <c r="B11" s="141" t="str">
        <f>VLOOKUP($C11,$C$11:$F$13,$B$1,FALSE)</f>
        <v>Organisaation nykytila</v>
      </c>
      <c r="C11" s="35">
        <v>0</v>
      </c>
      <c r="D11" t="s">
        <v>2483</v>
      </c>
      <c r="E11" t="s">
        <v>1566</v>
      </c>
      <c r="F11" t="s">
        <v>2525</v>
      </c>
      <c r="G11" s="141" t="s">
        <v>2722</v>
      </c>
    </row>
    <row r="12" spans="1:7" x14ac:dyDescent="0.25">
      <c r="B12" s="141" t="str">
        <f>VLOOKUP($C12,$C$11:$F$13,$B$1,FALSE)</f>
        <v>Organisaation edellinen arviointi</v>
      </c>
      <c r="C12" s="35">
        <v>1</v>
      </c>
      <c r="D12" t="s">
        <v>2484</v>
      </c>
      <c r="E12" t="s">
        <v>1569</v>
      </c>
      <c r="F12" t="s">
        <v>2526</v>
      </c>
    </row>
    <row r="13" spans="1:7" x14ac:dyDescent="0.25">
      <c r="B13" s="141" t="str">
        <f>VLOOKUP($C13,$C$11:$F$13,$B$1,FALSE)</f>
        <v>Referenssiryhmän keskiarvo</v>
      </c>
      <c r="C13" s="35">
        <v>2</v>
      </c>
      <c r="D13" t="s">
        <v>2485</v>
      </c>
      <c r="E13" t="s">
        <v>2477</v>
      </c>
      <c r="F13" t="s">
        <v>2527</v>
      </c>
    </row>
    <row r="14" spans="1:7" x14ac:dyDescent="0.25">
      <c r="A14" s="47" t="s">
        <v>2478</v>
      </c>
      <c r="B14" s="141" t="str">
        <f>VLOOKUP($C14,$C$14:$F$17,$B$1,FALSE)</f>
        <v>Kypsyystaso 0</v>
      </c>
      <c r="C14" s="35">
        <v>0</v>
      </c>
      <c r="D14" t="s">
        <v>1609</v>
      </c>
      <c r="E14" t="s">
        <v>1563</v>
      </c>
      <c r="F14" t="s">
        <v>2529</v>
      </c>
    </row>
    <row r="15" spans="1:7" x14ac:dyDescent="0.25">
      <c r="B15" s="141" t="str">
        <f>VLOOKUP($C15,$C$14:$F$17,$B$1,FALSE)</f>
        <v>Kypsyystaso 1</v>
      </c>
      <c r="C15" s="35">
        <v>1</v>
      </c>
      <c r="D15" t="s">
        <v>1610</v>
      </c>
      <c r="E15" t="s">
        <v>1567</v>
      </c>
      <c r="F15" t="s">
        <v>2530</v>
      </c>
    </row>
    <row r="16" spans="1:7" x14ac:dyDescent="0.25">
      <c r="B16" s="141" t="str">
        <f>VLOOKUP($C16,$C$14:$F$17,$B$1,FALSE)</f>
        <v>Kypsyystaso 2</v>
      </c>
      <c r="C16" s="35">
        <v>2</v>
      </c>
      <c r="D16" t="s">
        <v>1611</v>
      </c>
      <c r="E16" t="s">
        <v>1568</v>
      </c>
      <c r="F16" t="s">
        <v>2531</v>
      </c>
    </row>
    <row r="17" spans="1:6" x14ac:dyDescent="0.25">
      <c r="B17" s="141" t="str">
        <f>VLOOKUP($C17,$C$14:$F$17,$B$1,FALSE)</f>
        <v>Kypsyystaso 3</v>
      </c>
      <c r="C17" s="35">
        <v>3</v>
      </c>
      <c r="D17" t="s">
        <v>1612</v>
      </c>
      <c r="E17" t="s">
        <v>1564</v>
      </c>
      <c r="F17" t="s">
        <v>2532</v>
      </c>
    </row>
    <row r="18" spans="1:6" x14ac:dyDescent="0.25">
      <c r="A18" s="47" t="s">
        <v>501</v>
      </c>
      <c r="B18" s="264" t="str">
        <f>VLOOKUP($C18,$C$18:$F$22,$B$1,FALSE)</f>
        <v>0 - Vastaus puuttuu</v>
      </c>
      <c r="C18" s="261">
        <v>0</v>
      </c>
      <c r="D18" s="265" t="s">
        <v>1603</v>
      </c>
      <c r="E18" s="265" t="s">
        <v>17</v>
      </c>
      <c r="F18" s="247" t="s">
        <v>2283</v>
      </c>
    </row>
    <row r="19" spans="1:6" x14ac:dyDescent="0.25">
      <c r="B19" s="264" t="str">
        <f>VLOOKUP($C19,$C$18:$F$22,$B$1,FALSE)</f>
        <v>1 - Ei toteutettu</v>
      </c>
      <c r="C19" s="261">
        <v>1</v>
      </c>
      <c r="D19" s="265" t="s">
        <v>1604</v>
      </c>
      <c r="E19" s="265" t="s">
        <v>502</v>
      </c>
      <c r="F19" s="247" t="s">
        <v>2659</v>
      </c>
    </row>
    <row r="20" spans="1:6" x14ac:dyDescent="0.25">
      <c r="B20" s="264" t="str">
        <f>VLOOKUP($C20,$C$18:$F$22,$B$1,FALSE)</f>
        <v>2 - Osittain toteutettu</v>
      </c>
      <c r="C20" s="261">
        <v>2</v>
      </c>
      <c r="D20" s="265" t="s">
        <v>1605</v>
      </c>
      <c r="E20" s="265" t="s">
        <v>503</v>
      </c>
      <c r="F20" s="247" t="s">
        <v>2660</v>
      </c>
    </row>
    <row r="21" spans="1:6" x14ac:dyDescent="0.25">
      <c r="B21" s="264" t="str">
        <f>VLOOKUP($C21,$C$18:$F$22,$B$1,FALSE)</f>
        <v>3 - Enimmäkseen  toteutettu</v>
      </c>
      <c r="C21" s="261">
        <v>3</v>
      </c>
      <c r="D21" s="265" t="s">
        <v>1606</v>
      </c>
      <c r="E21" s="265" t="s">
        <v>504</v>
      </c>
      <c r="F21" s="247" t="s">
        <v>2661</v>
      </c>
    </row>
    <row r="22" spans="1:6" x14ac:dyDescent="0.25">
      <c r="B22" s="264" t="str">
        <f>VLOOKUP($C22,$C$18:$F$22,$B$1,FALSE)</f>
        <v>4 - Täysin toteutettu</v>
      </c>
      <c r="C22" s="261">
        <v>4</v>
      </c>
      <c r="D22" s="265" t="s">
        <v>1607</v>
      </c>
      <c r="E22" s="265" t="s">
        <v>8</v>
      </c>
      <c r="F22" s="247" t="s">
        <v>2662</v>
      </c>
    </row>
    <row r="23" spans="1:6" x14ac:dyDescent="0.25">
      <c r="A23" s="47" t="s">
        <v>1284</v>
      </c>
      <c r="B23" s="264" t="str">
        <f>VLOOKUP($C23,$C$23:$F$25,$B$1,FALSE)</f>
        <v>1. Vähäinen systeeminen vaikutus</v>
      </c>
      <c r="C23" s="261">
        <v>1</v>
      </c>
      <c r="D23" s="247" t="s">
        <v>1280</v>
      </c>
      <c r="E23" s="247" t="s">
        <v>1281</v>
      </c>
      <c r="F23" s="265" t="s">
        <v>2740</v>
      </c>
    </row>
    <row r="24" spans="1:6" x14ac:dyDescent="0.25">
      <c r="B24" s="264" t="str">
        <f>VLOOKUP($C24,$C$23:$F$25,$B$1,FALSE)</f>
        <v>2. Huomattava systeeminen vaikutus</v>
      </c>
      <c r="C24" s="261">
        <v>2</v>
      </c>
      <c r="D24" s="247" t="s">
        <v>1510</v>
      </c>
      <c r="E24" s="247" t="s">
        <v>630</v>
      </c>
      <c r="F24" s="265" t="s">
        <v>2741</v>
      </c>
    </row>
    <row r="25" spans="1:6" x14ac:dyDescent="0.25">
      <c r="B25" s="264" t="str">
        <f>VLOOKUP($C25,$C$23:$F$25,$B$1,FALSE)</f>
        <v>3. Rampauttava systeeminen vaikutus</v>
      </c>
      <c r="C25" s="261">
        <v>3</v>
      </c>
      <c r="D25" s="247" t="s">
        <v>1282</v>
      </c>
      <c r="E25" s="247" t="s">
        <v>1283</v>
      </c>
      <c r="F25" s="265" t="s">
        <v>2742</v>
      </c>
    </row>
    <row r="26" spans="1:6" x14ac:dyDescent="0.25">
      <c r="A26" s="47" t="s">
        <v>505</v>
      </c>
      <c r="B26" s="264" t="str">
        <f t="shared" ref="B26:B33" si="0">VLOOKUP($C26,$C$26:$F$33,$B$1,FALSE)</f>
        <v>Ei hvk-toiminto</v>
      </c>
      <c r="C26" s="266">
        <v>1</v>
      </c>
      <c r="D26" s="247" t="s">
        <v>2626</v>
      </c>
      <c r="E26" s="247" t="s">
        <v>1562</v>
      </c>
      <c r="F26" s="247" t="s">
        <v>2664</v>
      </c>
    </row>
    <row r="27" spans="1:6" x14ac:dyDescent="0.25">
      <c r="B27" s="264" t="str">
        <f t="shared" si="0"/>
        <v>Elintarvikehuolto</v>
      </c>
      <c r="C27" s="266">
        <v>2</v>
      </c>
      <c r="D27" s="247" t="s">
        <v>2622</v>
      </c>
      <c r="E27" s="247" t="s">
        <v>507</v>
      </c>
      <c r="F27" s="247" t="s">
        <v>2663</v>
      </c>
    </row>
    <row r="28" spans="1:6" x14ac:dyDescent="0.25">
      <c r="B28" s="264" t="str">
        <f t="shared" si="0"/>
        <v>Energiahuolto</v>
      </c>
      <c r="C28" s="266">
        <v>3</v>
      </c>
      <c r="D28" s="247" t="s">
        <v>2619</v>
      </c>
      <c r="E28" s="247" t="s">
        <v>508</v>
      </c>
      <c r="F28" s="247" t="s">
        <v>2627</v>
      </c>
    </row>
    <row r="29" spans="1:6" x14ac:dyDescent="0.25">
      <c r="B29" s="264" t="str">
        <f t="shared" si="0"/>
        <v>Finanssiala</v>
      </c>
      <c r="C29" s="266">
        <v>4</v>
      </c>
      <c r="D29" s="247" t="s">
        <v>2623</v>
      </c>
      <c r="E29" s="247" t="s">
        <v>1534</v>
      </c>
      <c r="F29" s="247" t="s">
        <v>2665</v>
      </c>
    </row>
    <row r="30" spans="1:6" x14ac:dyDescent="0.25">
      <c r="B30" s="264" t="str">
        <f t="shared" si="0"/>
        <v>Kriittinen teollisuustuotanto</v>
      </c>
      <c r="C30" s="266">
        <v>5</v>
      </c>
      <c r="D30" s="247" t="s">
        <v>2624</v>
      </c>
      <c r="E30" s="247" t="s">
        <v>509</v>
      </c>
      <c r="F30" s="247" t="s">
        <v>2666</v>
      </c>
    </row>
    <row r="31" spans="1:6" x14ac:dyDescent="0.25">
      <c r="B31" s="264" t="str">
        <f t="shared" si="0"/>
        <v>Logistiikka</v>
      </c>
      <c r="C31" s="266">
        <v>6</v>
      </c>
      <c r="D31" s="247" t="s">
        <v>2620</v>
      </c>
      <c r="E31" s="247" t="s">
        <v>510</v>
      </c>
      <c r="F31" s="247" t="s">
        <v>2628</v>
      </c>
    </row>
    <row r="32" spans="1:6" x14ac:dyDescent="0.25">
      <c r="B32" s="264" t="str">
        <f t="shared" si="0"/>
        <v>Terveydenhuolto</v>
      </c>
      <c r="C32" s="266">
        <v>7</v>
      </c>
      <c r="D32" s="247" t="s">
        <v>2625</v>
      </c>
      <c r="E32" s="247" t="s">
        <v>511</v>
      </c>
      <c r="F32" s="247" t="s">
        <v>2667</v>
      </c>
    </row>
    <row r="33" spans="1:6" x14ac:dyDescent="0.25">
      <c r="B33" s="264" t="str">
        <f t="shared" si="0"/>
        <v>Tietoyhteiskunta</v>
      </c>
      <c r="C33" s="266">
        <v>8</v>
      </c>
      <c r="D33" s="247" t="s">
        <v>2621</v>
      </c>
      <c r="E33" s="247" t="s">
        <v>512</v>
      </c>
      <c r="F33" s="247" t="s">
        <v>2668</v>
      </c>
    </row>
    <row r="34" spans="1:6" x14ac:dyDescent="0.25">
      <c r="A34" s="47" t="s">
        <v>1291</v>
      </c>
      <c r="B34" s="264" t="str">
        <f t="shared" ref="B34:B61" si="1">VLOOKUP($C34,$C$34:$F$61,$B$1,FALSE)</f>
        <v>Ei hvk-toimiala</v>
      </c>
      <c r="C34" s="266">
        <v>1</v>
      </c>
      <c r="D34" s="247" t="s">
        <v>2626</v>
      </c>
      <c r="E34" s="247" t="s">
        <v>506</v>
      </c>
      <c r="F34" s="247" t="s">
        <v>2664</v>
      </c>
    </row>
    <row r="35" spans="1:6" x14ac:dyDescent="0.25">
      <c r="B35" s="264" t="str">
        <f t="shared" si="1"/>
        <v>Elintarvike - Alkutuotanto</v>
      </c>
      <c r="C35" s="266">
        <v>2</v>
      </c>
      <c r="D35" s="247" t="s">
        <v>2718</v>
      </c>
      <c r="E35" s="247" t="s">
        <v>1535</v>
      </c>
      <c r="F35" s="247" t="s">
        <v>2669</v>
      </c>
    </row>
    <row r="36" spans="1:6" x14ac:dyDescent="0.25">
      <c r="B36" s="264" t="str">
        <f t="shared" si="1"/>
        <v>Elintarvike - Elintarviketeollisuus</v>
      </c>
      <c r="C36" s="266">
        <v>3</v>
      </c>
      <c r="D36" s="247" t="s">
        <v>2719</v>
      </c>
      <c r="E36" s="247" t="s">
        <v>1536</v>
      </c>
      <c r="F36" s="247" t="s">
        <v>2670</v>
      </c>
    </row>
    <row r="37" spans="1:6" x14ac:dyDescent="0.25">
      <c r="B37" s="264" t="str">
        <f t="shared" si="1"/>
        <v>Elintarvike - Kauppa ja jakelu</v>
      </c>
      <c r="C37" s="266">
        <v>4</v>
      </c>
      <c r="D37" s="247" t="s">
        <v>2720</v>
      </c>
      <c r="E37" s="247" t="s">
        <v>1537</v>
      </c>
      <c r="F37" s="247" t="s">
        <v>2671</v>
      </c>
    </row>
    <row r="38" spans="1:6" x14ac:dyDescent="0.25">
      <c r="B38" s="264" t="str">
        <f t="shared" si="1"/>
        <v>Elintarvike - Muu</v>
      </c>
      <c r="C38" s="266">
        <v>5</v>
      </c>
      <c r="D38" s="247" t="s">
        <v>2721</v>
      </c>
      <c r="E38" s="247" t="s">
        <v>1538</v>
      </c>
      <c r="F38" s="247" t="s">
        <v>2672</v>
      </c>
    </row>
    <row r="39" spans="1:6" x14ac:dyDescent="0.25">
      <c r="B39" s="264" t="str">
        <f t="shared" si="1"/>
        <v>Energia - Voimatalous</v>
      </c>
      <c r="C39" s="266">
        <v>6</v>
      </c>
      <c r="D39" s="247" t="s">
        <v>2696</v>
      </c>
      <c r="E39" s="247" t="s">
        <v>1539</v>
      </c>
      <c r="F39" s="247" t="s">
        <v>2673</v>
      </c>
    </row>
    <row r="40" spans="1:6" x14ac:dyDescent="0.25">
      <c r="B40" s="264" t="str">
        <f t="shared" si="1"/>
        <v>Energia - Öljy</v>
      </c>
      <c r="C40" s="266">
        <v>7</v>
      </c>
      <c r="D40" s="247" t="s">
        <v>2697</v>
      </c>
      <c r="E40" s="247" t="s">
        <v>1540</v>
      </c>
      <c r="F40" s="247" t="s">
        <v>2674</v>
      </c>
    </row>
    <row r="41" spans="1:6" x14ac:dyDescent="0.25">
      <c r="B41" s="264" t="str">
        <f t="shared" si="1"/>
        <v>Energia - Muu</v>
      </c>
      <c r="C41" s="266">
        <v>8</v>
      </c>
      <c r="D41" s="247" t="s">
        <v>2698</v>
      </c>
      <c r="E41" s="247" t="s">
        <v>1541</v>
      </c>
      <c r="F41" s="247" t="s">
        <v>2675</v>
      </c>
    </row>
    <row r="42" spans="1:6" x14ac:dyDescent="0.25">
      <c r="B42" s="264" t="str">
        <f t="shared" si="1"/>
        <v>Finanssi - Rahoitushuolto</v>
      </c>
      <c r="C42" s="266">
        <v>9</v>
      </c>
      <c r="D42" s="247" t="s">
        <v>2699</v>
      </c>
      <c r="E42" s="247" t="s">
        <v>1542</v>
      </c>
      <c r="F42" s="247" t="s">
        <v>2676</v>
      </c>
    </row>
    <row r="43" spans="1:6" x14ac:dyDescent="0.25">
      <c r="B43" s="264" t="str">
        <f t="shared" si="1"/>
        <v>Finanssi - Vakuutusala</v>
      </c>
      <c r="C43" s="266">
        <v>10</v>
      </c>
      <c r="D43" s="247" t="s">
        <v>2700</v>
      </c>
      <c r="E43" s="247" t="s">
        <v>1543</v>
      </c>
      <c r="F43" s="247" t="s">
        <v>2677</v>
      </c>
    </row>
    <row r="44" spans="1:6" x14ac:dyDescent="0.25">
      <c r="B44" s="264" t="str">
        <f t="shared" si="1"/>
        <v>Finanssi - Muu</v>
      </c>
      <c r="C44" s="266">
        <v>11</v>
      </c>
      <c r="D44" s="247" t="s">
        <v>2701</v>
      </c>
      <c r="E44" s="247" t="s">
        <v>1544</v>
      </c>
      <c r="F44" s="247" t="s">
        <v>2678</v>
      </c>
    </row>
    <row r="45" spans="1:6" x14ac:dyDescent="0.25">
      <c r="B45" s="264" t="str">
        <f t="shared" si="1"/>
        <v>Kriit. teollisuus - Kemia</v>
      </c>
      <c r="C45" s="266">
        <v>12</v>
      </c>
      <c r="D45" s="247" t="s">
        <v>2702</v>
      </c>
      <c r="E45" s="247" t="s">
        <v>1555</v>
      </c>
      <c r="F45" s="247" t="s">
        <v>2679</v>
      </c>
    </row>
    <row r="46" spans="1:6" x14ac:dyDescent="0.25">
      <c r="B46" s="264" t="str">
        <f t="shared" si="1"/>
        <v>Kriit. teollisuus - Metsä</v>
      </c>
      <c r="C46" s="266">
        <v>13</v>
      </c>
      <c r="D46" s="247" t="s">
        <v>2703</v>
      </c>
      <c r="E46" s="247" t="s">
        <v>1556</v>
      </c>
      <c r="F46" s="247" t="s">
        <v>2680</v>
      </c>
    </row>
    <row r="47" spans="1:6" x14ac:dyDescent="0.25">
      <c r="B47" s="264" t="str">
        <f t="shared" si="1"/>
        <v>Kriit. teollisuus - MIL</v>
      </c>
      <c r="C47" s="266">
        <v>14</v>
      </c>
      <c r="D47" s="247" t="s">
        <v>2704</v>
      </c>
      <c r="E47" s="247" t="s">
        <v>1557</v>
      </c>
      <c r="F47" s="247" t="s">
        <v>2681</v>
      </c>
    </row>
    <row r="48" spans="1:6" x14ac:dyDescent="0.25">
      <c r="B48" s="264" t="str">
        <f t="shared" si="1"/>
        <v>Kriit. teollisuus - Muovi ja kumi</v>
      </c>
      <c r="C48" s="266">
        <v>15</v>
      </c>
      <c r="D48" s="247" t="s">
        <v>2705</v>
      </c>
      <c r="E48" s="247" t="s">
        <v>1558</v>
      </c>
      <c r="F48" s="247" t="s">
        <v>2682</v>
      </c>
    </row>
    <row r="49" spans="1:6" x14ac:dyDescent="0.25">
      <c r="B49" s="264" t="str">
        <f t="shared" si="1"/>
        <v>Kriit. teollisuus - Rakennus</v>
      </c>
      <c r="C49" s="266">
        <v>16</v>
      </c>
      <c r="D49" s="247" t="s">
        <v>2706</v>
      </c>
      <c r="E49" s="247" t="s">
        <v>1559</v>
      </c>
      <c r="F49" s="247" t="s">
        <v>2683</v>
      </c>
    </row>
    <row r="50" spans="1:6" x14ac:dyDescent="0.25">
      <c r="B50" s="264" t="str">
        <f t="shared" si="1"/>
        <v>Kriit. teollisuus - Teknologia</v>
      </c>
      <c r="C50" s="266">
        <v>17</v>
      </c>
      <c r="D50" s="247" t="s">
        <v>2707</v>
      </c>
      <c r="E50" s="247" t="s">
        <v>1560</v>
      </c>
      <c r="F50" s="247" t="s">
        <v>2684</v>
      </c>
    </row>
    <row r="51" spans="1:6" x14ac:dyDescent="0.25">
      <c r="B51" s="264" t="str">
        <f t="shared" si="1"/>
        <v>Kriit. teollisuus - Muu</v>
      </c>
      <c r="C51" s="266">
        <v>18</v>
      </c>
      <c r="D51" s="247" t="s">
        <v>2708</v>
      </c>
      <c r="E51" s="247" t="s">
        <v>1561</v>
      </c>
      <c r="F51" s="247" t="s">
        <v>2685</v>
      </c>
    </row>
    <row r="52" spans="1:6" x14ac:dyDescent="0.25">
      <c r="B52" s="264" t="str">
        <f t="shared" si="1"/>
        <v>Logistiikka - Ilmakuljetus</v>
      </c>
      <c r="C52" s="266">
        <v>19</v>
      </c>
      <c r="D52" s="247" t="s">
        <v>2709</v>
      </c>
      <c r="E52" s="247" t="s">
        <v>1545</v>
      </c>
      <c r="F52" s="247" t="s">
        <v>2686</v>
      </c>
    </row>
    <row r="53" spans="1:6" x14ac:dyDescent="0.25">
      <c r="B53" s="264" t="str">
        <f t="shared" si="1"/>
        <v>Logistiikka - Maakuljetus</v>
      </c>
      <c r="C53" s="266">
        <v>20</v>
      </c>
      <c r="D53" s="247" t="s">
        <v>2710</v>
      </c>
      <c r="E53" s="247" t="s">
        <v>1546</v>
      </c>
      <c r="F53" s="247" t="s">
        <v>2687</v>
      </c>
    </row>
    <row r="54" spans="1:6" x14ac:dyDescent="0.25">
      <c r="B54" s="264" t="str">
        <f t="shared" si="1"/>
        <v>Logistiikka - Vesikuljetus</v>
      </c>
      <c r="C54" s="266">
        <v>21</v>
      </c>
      <c r="D54" s="247" t="s">
        <v>2711</v>
      </c>
      <c r="E54" s="247" t="s">
        <v>1547</v>
      </c>
      <c r="F54" s="247" t="s">
        <v>2688</v>
      </c>
    </row>
    <row r="55" spans="1:6" x14ac:dyDescent="0.25">
      <c r="B55" s="264" t="str">
        <f t="shared" si="1"/>
        <v>Logistiikka - Muu</v>
      </c>
      <c r="C55" s="266">
        <v>22</v>
      </c>
      <c r="D55" s="247" t="s">
        <v>2712</v>
      </c>
      <c r="E55" s="247" t="s">
        <v>1548</v>
      </c>
      <c r="F55" s="247" t="s">
        <v>2689</v>
      </c>
    </row>
    <row r="56" spans="1:6" x14ac:dyDescent="0.25">
      <c r="B56" s="264" t="str">
        <f t="shared" si="1"/>
        <v>Terveys - Terveydenhuolto</v>
      </c>
      <c r="C56" s="266">
        <v>23</v>
      </c>
      <c r="D56" s="247" t="s">
        <v>2713</v>
      </c>
      <c r="E56" s="247" t="s">
        <v>1549</v>
      </c>
      <c r="F56" s="247" t="s">
        <v>2690</v>
      </c>
    </row>
    <row r="57" spans="1:6" x14ac:dyDescent="0.25">
      <c r="B57" s="264" t="str">
        <f t="shared" si="1"/>
        <v>Terveys - Vesihuolto</v>
      </c>
      <c r="C57" s="266">
        <v>24</v>
      </c>
      <c r="D57" s="247" t="s">
        <v>2714</v>
      </c>
      <c r="E57" s="247" t="s">
        <v>1550</v>
      </c>
      <c r="F57" s="247" t="s">
        <v>2691</v>
      </c>
    </row>
    <row r="58" spans="1:6" x14ac:dyDescent="0.25">
      <c r="B58" s="264" t="str">
        <f t="shared" si="1"/>
        <v>Terveys - Muu</v>
      </c>
      <c r="C58" s="266">
        <v>25</v>
      </c>
      <c r="D58" s="247" t="s">
        <v>2715</v>
      </c>
      <c r="E58" s="247" t="s">
        <v>1551</v>
      </c>
      <c r="F58" s="247" t="s">
        <v>2692</v>
      </c>
    </row>
    <row r="59" spans="1:6" x14ac:dyDescent="0.25">
      <c r="B59" s="264" t="str">
        <f t="shared" si="1"/>
        <v>Tieto - Digi</v>
      </c>
      <c r="C59" s="266">
        <v>26</v>
      </c>
      <c r="D59" s="247" t="s">
        <v>2716</v>
      </c>
      <c r="E59" s="247" t="s">
        <v>1552</v>
      </c>
      <c r="F59" s="247" t="s">
        <v>2693</v>
      </c>
    </row>
    <row r="60" spans="1:6" x14ac:dyDescent="0.25">
      <c r="B60" s="264" t="str">
        <f t="shared" si="1"/>
        <v>Tieto - Media</v>
      </c>
      <c r="C60" s="266">
        <v>27</v>
      </c>
      <c r="D60" s="247" t="s">
        <v>2694</v>
      </c>
      <c r="E60" s="247" t="s">
        <v>1553</v>
      </c>
      <c r="F60" s="247" t="s">
        <v>2694</v>
      </c>
    </row>
    <row r="61" spans="1:6" x14ac:dyDescent="0.25">
      <c r="B61" s="264" t="str">
        <f t="shared" si="1"/>
        <v>Tieto - Muu</v>
      </c>
      <c r="C61" s="266">
        <v>28</v>
      </c>
      <c r="D61" s="247" t="s">
        <v>2717</v>
      </c>
      <c r="E61" s="247" t="s">
        <v>1554</v>
      </c>
      <c r="F61" s="247" t="s">
        <v>2695</v>
      </c>
    </row>
    <row r="62" spans="1:6" x14ac:dyDescent="0.25">
      <c r="A62" s="47" t="s">
        <v>2634</v>
      </c>
      <c r="B62" s="264" t="str">
        <f>VLOOKUP($C62,$C$62:$F$72,$B$1,FALSE)</f>
        <v>Kriittiset
palvelut</v>
      </c>
      <c r="C62" s="266">
        <v>1</v>
      </c>
      <c r="D62" s="247" t="s">
        <v>60</v>
      </c>
      <c r="E62" s="274" t="s">
        <v>2468</v>
      </c>
      <c r="F62" s="247" t="s">
        <v>60</v>
      </c>
    </row>
    <row r="63" spans="1:6" x14ac:dyDescent="0.25">
      <c r="B63" s="264" t="str">
        <f t="shared" ref="B63:B72" si="2">VLOOKUP($C63,$C$62:$F$72,$B$1,FALSE)</f>
        <v>Riskien
hallinta</v>
      </c>
      <c r="C63" s="266">
        <v>2</v>
      </c>
      <c r="D63" s="247" t="s">
        <v>0</v>
      </c>
      <c r="E63" s="274" t="s">
        <v>2469</v>
      </c>
      <c r="F63" s="247" t="s">
        <v>0</v>
      </c>
    </row>
    <row r="64" spans="1:6" x14ac:dyDescent="0.25">
      <c r="B64" s="264" t="str">
        <f t="shared" si="2"/>
        <v>Toimitus
ketjut</v>
      </c>
      <c r="C64" s="266">
        <v>3</v>
      </c>
      <c r="D64" s="247" t="s">
        <v>2635</v>
      </c>
      <c r="E64" s="274" t="s">
        <v>2470</v>
      </c>
      <c r="F64" s="247" t="s">
        <v>2635</v>
      </c>
    </row>
    <row r="65" spans="2:6" x14ac:dyDescent="0.25">
      <c r="B65" s="264" t="str">
        <f t="shared" si="2"/>
        <v>Laiteet
ja tieto</v>
      </c>
      <c r="C65" s="266">
        <v>4</v>
      </c>
      <c r="D65" s="247" t="s">
        <v>51</v>
      </c>
      <c r="E65" s="274" t="s">
        <v>2471</v>
      </c>
      <c r="F65" s="247" t="s">
        <v>51</v>
      </c>
    </row>
    <row r="66" spans="2:6" x14ac:dyDescent="0.25">
      <c r="B66" s="264" t="str">
        <f t="shared" si="2"/>
        <v>Pääsyn
hallinta</v>
      </c>
      <c r="C66" s="266">
        <v>5</v>
      </c>
      <c r="D66" s="247" t="s">
        <v>64</v>
      </c>
      <c r="E66" s="274" t="s">
        <v>2472</v>
      </c>
      <c r="F66" s="247" t="s">
        <v>64</v>
      </c>
    </row>
    <row r="67" spans="2:6" x14ac:dyDescent="0.25">
      <c r="B67" s="264" t="str">
        <f t="shared" si="2"/>
        <v>Kyberuhat</v>
      </c>
      <c r="C67" s="266">
        <v>6</v>
      </c>
      <c r="D67" s="247" t="s">
        <v>69</v>
      </c>
      <c r="E67" s="274" t="s">
        <v>2466</v>
      </c>
      <c r="F67" s="247" t="s">
        <v>69</v>
      </c>
    </row>
    <row r="68" spans="2:6" x14ac:dyDescent="0.25">
      <c r="B68" s="264" t="str">
        <f t="shared" si="2"/>
        <v>Tilannekuva</v>
      </c>
      <c r="C68" s="266">
        <v>7</v>
      </c>
      <c r="D68" s="247" t="s">
        <v>72</v>
      </c>
      <c r="E68" s="274" t="s">
        <v>810</v>
      </c>
      <c r="F68" s="247" t="s">
        <v>72</v>
      </c>
    </row>
    <row r="69" spans="2:6" x14ac:dyDescent="0.25">
      <c r="B69" s="264" t="str">
        <f t="shared" si="2"/>
        <v>Kyber
häiriöt</v>
      </c>
      <c r="C69" s="266">
        <v>8</v>
      </c>
      <c r="D69" t="s">
        <v>74</v>
      </c>
      <c r="E69" s="274" t="s">
        <v>2473</v>
      </c>
      <c r="F69" t="s">
        <v>74</v>
      </c>
    </row>
    <row r="70" spans="2:6" x14ac:dyDescent="0.25">
      <c r="B70" s="264" t="str">
        <f t="shared" si="2"/>
        <v>Henkilöstö</v>
      </c>
      <c r="C70" s="266">
        <v>9</v>
      </c>
      <c r="D70" t="s">
        <v>80</v>
      </c>
      <c r="E70" s="274" t="s">
        <v>2467</v>
      </c>
      <c r="F70" t="s">
        <v>80</v>
      </c>
    </row>
    <row r="71" spans="2:6" x14ac:dyDescent="0.25">
      <c r="B71" s="264" t="str">
        <f t="shared" si="2"/>
        <v>Kyber
arkkitehtuuri</v>
      </c>
      <c r="C71" s="266">
        <v>10</v>
      </c>
      <c r="D71" t="s">
        <v>2636</v>
      </c>
      <c r="E71" s="274" t="s">
        <v>2475</v>
      </c>
      <c r="F71" t="s">
        <v>2636</v>
      </c>
    </row>
    <row r="72" spans="2:6" x14ac:dyDescent="0.25">
      <c r="B72" s="264" t="str">
        <f t="shared" si="2"/>
        <v>Kehitys
ohjelma</v>
      </c>
      <c r="C72" s="266">
        <v>11</v>
      </c>
      <c r="D72" t="s">
        <v>85</v>
      </c>
      <c r="E72" s="274" t="s">
        <v>2474</v>
      </c>
      <c r="F72" t="s">
        <v>85</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79998168889431442"/>
  </sheetPr>
  <dimension ref="A1:P52"/>
  <sheetViews>
    <sheetView showGridLines="0" zoomScaleNormal="100" workbookViewId="0">
      <selection activeCell="I13" sqref="I13"/>
    </sheetView>
  </sheetViews>
  <sheetFormatPr defaultColWidth="9.28515625" defaultRowHeight="13.5" x14ac:dyDescent="0.25"/>
  <cols>
    <col min="1" max="2" width="1.640625" style="303" customWidth="1"/>
    <col min="3" max="3" width="2.640625" style="303" customWidth="1"/>
    <col min="4" max="4" width="2.640625" style="518" customWidth="1"/>
    <col min="5" max="5" width="38.7109375" style="303" customWidth="1"/>
    <col min="6" max="6" width="3.640625" style="303" customWidth="1"/>
    <col min="7" max="7" width="16.640625" style="451" customWidth="1"/>
    <col min="8" max="8" width="2.640625" style="519" customWidth="1"/>
    <col min="9" max="9" width="14.640625" style="451" customWidth="1"/>
    <col min="10" max="10" width="45.640625" style="520" customWidth="1"/>
    <col min="11" max="11" width="1.640625" style="303" customWidth="1"/>
    <col min="12" max="12" width="1.640625" style="521" customWidth="1"/>
    <col min="13" max="13" width="1.640625" style="585" customWidth="1"/>
    <col min="14" max="14" width="1.640625" style="521" customWidth="1"/>
    <col min="15" max="15" width="9.0703125" style="301" customWidth="1"/>
    <col min="16" max="16" width="9.0703125" style="529" customWidth="1"/>
    <col min="17" max="17" width="9.0703125" style="303" customWidth="1"/>
    <col min="18" max="16384" width="9.28515625" style="303"/>
  </cols>
  <sheetData>
    <row r="1" spans="1:16" x14ac:dyDescent="0.25">
      <c r="A1" s="297"/>
      <c r="B1" s="297"/>
      <c r="C1" s="297"/>
      <c r="D1" s="297"/>
      <c r="E1" s="297"/>
      <c r="F1" s="297"/>
      <c r="G1" s="438"/>
      <c r="H1" s="439"/>
      <c r="I1" s="438"/>
      <c r="J1" s="438"/>
      <c r="K1" s="297"/>
      <c r="L1" s="297"/>
      <c r="M1" s="528"/>
      <c r="N1" s="297"/>
    </row>
    <row r="2" spans="1:16" s="448" customFormat="1" ht="25" customHeight="1" x14ac:dyDescent="0.3">
      <c r="A2" s="441"/>
      <c r="B2" s="305"/>
      <c r="C2" s="442" t="s">
        <v>0</v>
      </c>
      <c r="D2" s="308"/>
      <c r="E2" s="443"/>
      <c r="F2" s="443"/>
      <c r="G2" s="443"/>
      <c r="H2" s="309"/>
      <c r="I2" s="443"/>
      <c r="J2" s="444"/>
      <c r="K2" s="310"/>
      <c r="L2" s="441"/>
      <c r="M2" s="530"/>
      <c r="N2" s="441"/>
      <c r="O2" s="446"/>
      <c r="P2" s="468"/>
    </row>
    <row r="3" spans="1:16" ht="25" customHeight="1" x14ac:dyDescent="0.35">
      <c r="A3" s="297"/>
      <c r="B3" s="323"/>
      <c r="C3" s="321" t="str">
        <f>IF(VLOOKUP($C$2,Languages!$A:$D,1,TRUE)=$C$2,VLOOKUP($C$2,Languages!$A:$D,Kybermittari!$C$7,TRUE),NA())</f>
        <v>Riskienhallinta</v>
      </c>
      <c r="D3" s="449"/>
      <c r="E3" s="450"/>
      <c r="H3" s="452"/>
      <c r="J3" s="453"/>
      <c r="K3" s="327"/>
      <c r="L3" s="297"/>
      <c r="M3" s="531"/>
      <c r="N3" s="297"/>
    </row>
    <row r="4" spans="1:16" ht="10" customHeight="1" x14ac:dyDescent="0.25">
      <c r="A4" s="297"/>
      <c r="B4" s="323"/>
      <c r="C4" s="455"/>
      <c r="D4" s="325"/>
      <c r="E4" s="325"/>
      <c r="F4" s="325"/>
      <c r="G4" s="325"/>
      <c r="H4" s="326"/>
      <c r="I4" s="326"/>
      <c r="J4" s="453"/>
      <c r="K4" s="327"/>
      <c r="L4" s="297"/>
      <c r="M4" s="531"/>
      <c r="N4" s="297"/>
    </row>
    <row r="5" spans="1:16" s="351" customFormat="1" ht="56.5" customHeight="1" x14ac:dyDescent="0.25">
      <c r="A5" s="344"/>
      <c r="B5" s="532"/>
      <c r="C5" s="750" t="str">
        <f>IF(VLOOKUP(CONCATENATE(C2,"-0"),Languages!$A:$D,1,TRUE)=CONCATENATE(C2,"-0"),VLOOKUP(CONCATENATE(C2,"-0"),Languages!$A:$D,Kybermittari!$C$7,TRUE),NA())</f>
        <v>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v>
      </c>
      <c r="D5" s="750"/>
      <c r="E5" s="750"/>
      <c r="F5" s="750"/>
      <c r="G5" s="750"/>
      <c r="H5" s="750"/>
      <c r="I5" s="750"/>
      <c r="J5" s="750"/>
      <c r="K5" s="356"/>
      <c r="L5" s="344"/>
      <c r="M5" s="533"/>
      <c r="N5" s="344"/>
      <c r="O5" s="349"/>
      <c r="P5" s="529"/>
    </row>
    <row r="6" spans="1:16" s="351" customFormat="1" ht="20" customHeight="1" x14ac:dyDescent="0.25">
      <c r="A6" s="344"/>
      <c r="B6" s="532"/>
      <c r="C6" s="456">
        <v>1</v>
      </c>
      <c r="D6" s="457" t="s">
        <v>2</v>
      </c>
      <c r="E6" s="458" t="str">
        <f>IF(VLOOKUP(CONCATENATE($C$2,"-",C6),Languages!$A:$D,1,TRUE)=CONCATENATE($C$2,"-",C6),VLOOKUP(CONCATENATE($C$2,"-",C6),Languages!$A:$D,Kybermittari!$C$7,TRUE),NA())</f>
        <v>Kyberturvallisuusriskien hallinta</v>
      </c>
      <c r="F6" s="374"/>
      <c r="G6" s="534"/>
      <c r="H6" s="534"/>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c r="O6" s="349"/>
      <c r="P6" s="529"/>
    </row>
    <row r="7" spans="1:16" s="351" customFormat="1" ht="20" customHeight="1" x14ac:dyDescent="0.25">
      <c r="A7" s="344"/>
      <c r="B7" s="532"/>
      <c r="C7" s="456">
        <v>2</v>
      </c>
      <c r="D7" s="457" t="s">
        <v>2</v>
      </c>
      <c r="E7" s="458" t="str">
        <f>IF(VLOOKUP(CONCATENATE($C$2,"-",C7),Languages!$A:$D,1,TRUE)=CONCATENATE($C$2,"-",C7),VLOOKUP(CONCATENATE($C$2,"-",C7),Languages!$A:$D,Kybermittari!$C$7,TRUE),NA())</f>
        <v>Strategia kyberturvallisuusriskien hallintaan</v>
      </c>
      <c r="F7" s="374"/>
      <c r="G7" s="534"/>
      <c r="H7" s="534"/>
      <c r="I7" s="459" t="str">
        <f ca="1">VLOOKUP(VLOOKUP(CONCATENATE($C$2,"-",$C7),Data!$K:$O,5,FALSE),Parameters!$C$7:$F$10,Kybermittari!$C$7,FALSE)</f>
        <v>Kypsyystaso 1</v>
      </c>
      <c r="J7" s="452" t="str">
        <f ca="1">VLOOKUP(VLOOKUP(CONCATENATE($C$2),Data!$K:$O,5,FALSE),Parameters!$C$7:$F$10,Kybermittari!$C$7,FALSE)</f>
        <v>Kypsyystaso 0</v>
      </c>
      <c r="K7" s="356"/>
      <c r="L7" s="344"/>
      <c r="M7" s="533"/>
      <c r="N7" s="344"/>
      <c r="O7" s="349"/>
      <c r="P7" s="529"/>
    </row>
    <row r="8" spans="1:16" s="351" customFormat="1" ht="20" customHeight="1" x14ac:dyDescent="0.25">
      <c r="A8" s="344"/>
      <c r="B8" s="532"/>
      <c r="C8" s="456">
        <v>3</v>
      </c>
      <c r="D8" s="457" t="s">
        <v>2</v>
      </c>
      <c r="E8" s="458" t="str">
        <f>IF(VLOOKUP(CONCATENATE($C$2,"-",C8),Languages!$A:$D,1,TRUE)=CONCATENATE($C$2,"-",C8),VLOOKUP(CONCATENATE($C$2,"-",C8),Languages!$A:$D,Kybermittari!$C$7,TRUE),NA())</f>
        <v>Yleisiä hallintatoimia</v>
      </c>
      <c r="F8" s="374"/>
      <c r="G8" s="534"/>
      <c r="H8" s="534"/>
      <c r="I8" s="459" t="str">
        <f ca="1">VLOOKUP(VLOOKUP(CONCATENATE($C$2,"-",$C8),Data!$K:$O,5,FALSE),Parameters!$C$7:$F$10,Kybermittari!$C$7,FALSE)</f>
        <v>Kypsyystaso 1</v>
      </c>
      <c r="J8" s="374"/>
      <c r="K8" s="356"/>
      <c r="L8" s="344"/>
      <c r="M8" s="533"/>
      <c r="N8" s="344"/>
      <c r="O8" s="349"/>
      <c r="P8" s="529"/>
    </row>
    <row r="9" spans="1:16" s="343" customFormat="1" ht="30" customHeight="1" x14ac:dyDescent="0.3">
      <c r="A9" s="332"/>
      <c r="B9" s="461"/>
      <c r="C9" s="336">
        <v>1</v>
      </c>
      <c r="D9" s="462" t="str">
        <f>IF(VLOOKUP(CONCATENATE($C$2,"-",C9),Languages!$A:$D,1,TRUE)=CONCATENATE($C$2,"-",C9),VLOOKUP(CONCATENATE($C$2,"-",C9),Languages!$A:$D,Kybermittari!$C$7,TRUE),NA())</f>
        <v>Kyberturvallisuusriskien hallinta</v>
      </c>
      <c r="E9" s="336"/>
      <c r="F9" s="463"/>
      <c r="G9" s="463"/>
      <c r="H9" s="464"/>
      <c r="I9" s="464"/>
      <c r="J9" s="465"/>
      <c r="K9" s="466"/>
      <c r="L9" s="467"/>
      <c r="M9" s="531"/>
      <c r="N9" s="332"/>
      <c r="O9" s="341"/>
      <c r="P9" s="468"/>
    </row>
    <row r="10" spans="1:16" s="351" customFormat="1" ht="96" customHeight="1" x14ac:dyDescent="0.25">
      <c r="A10" s="344"/>
      <c r="B10" s="345"/>
      <c r="C10" s="745" t="str">
        <f>IF(VLOOKUP(CONCATENATE($C$2,"-",$C9,"-0"),Languages!$A:$D,1,TRUE)=CONCATENATE($C$2,"-",$C9,"-0"),VLOOKUP(CONCATENATE($C$2,"-",$C9,"-0"),Languages!$A:$D,Kybermittari!$C$7,TRUE),NA())</f>
        <v>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v>
      </c>
      <c r="D10" s="745"/>
      <c r="E10" s="745"/>
      <c r="F10" s="745"/>
      <c r="G10" s="745"/>
      <c r="H10" s="745"/>
      <c r="I10" s="745"/>
      <c r="J10" s="745"/>
      <c r="K10" s="346"/>
      <c r="L10" s="344"/>
      <c r="M10" s="533"/>
      <c r="N10" s="344"/>
      <c r="O10" s="349"/>
      <c r="P10" s="529"/>
    </row>
    <row r="11" spans="1:16" s="544" customFormat="1" ht="20" customHeight="1" x14ac:dyDescent="0.25">
      <c r="A11" s="535"/>
      <c r="B11" s="536"/>
      <c r="C11" s="537" t="str">
        <f>IF(VLOOKUP("GEN-LEVEL",Languages!$A:$D,1,TRUE)="GEN-LEVEL",VLOOKUP("GEN-LEVEL",Languages!$A:$D,Kybermittari!$C$7,TRUE),NA())</f>
        <v>Taso</v>
      </c>
      <c r="D11" s="537"/>
      <c r="E11" s="538" t="str">
        <f>IF(VLOOKUP("GEN-PRACTICE",Languages!$A:$D,1,TRUE)="GEN-PRACTICE",VLOOKUP("GEN-PRACTICE",Languages!$A:$D,Kybermittari!$C$7,TRUE),NA())</f>
        <v>Käytäntö</v>
      </c>
      <c r="F11" s="539"/>
      <c r="G11" s="540"/>
      <c r="H11" s="541"/>
      <c r="I11" s="538" t="str">
        <f>IF(VLOOKUP("GEN-ANSWER",Languages!$A:$D,1,TRUE)="GEN-ANSWER",VLOOKUP("GEN-ANSWER",Languages!$A:$D,Kybermittari!$C$7,TRUE),NA())</f>
        <v>Vastaus</v>
      </c>
      <c r="J11" s="540" t="str">
        <f>IF(VLOOKUP("GEN-COMMENT",Languages!$A:$D,1,TRUE)="GEN-COMMENT",VLOOKUP("GEN-COMMENT",Languages!$A:$D,Kybermittari!$C$7,TRUE),NA())</f>
        <v>Kommentti ja viittaukset</v>
      </c>
      <c r="K11" s="542"/>
      <c r="L11" s="535"/>
      <c r="M11" s="531"/>
      <c r="N11" s="535"/>
      <c r="O11" s="543"/>
      <c r="P11" s="468"/>
    </row>
    <row r="12" spans="1:16" s="547" customFormat="1" ht="10" customHeight="1" x14ac:dyDescent="0.3">
      <c r="A12" s="483"/>
      <c r="B12" s="476"/>
      <c r="C12" s="487"/>
      <c r="D12" s="487"/>
      <c r="E12" s="488"/>
      <c r="F12" s="489"/>
      <c r="G12" s="490"/>
      <c r="H12" s="491"/>
      <c r="I12" s="488"/>
      <c r="J12" s="490"/>
      <c r="K12" s="482"/>
      <c r="L12" s="483"/>
      <c r="M12" s="545"/>
      <c r="N12" s="483"/>
      <c r="O12" s="546"/>
      <c r="P12" s="468"/>
    </row>
    <row r="13" spans="1:16" s="495" customFormat="1" ht="35" customHeight="1" x14ac:dyDescent="0.3">
      <c r="A13" s="469"/>
      <c r="B13" s="749"/>
      <c r="C13" s="751">
        <v>1</v>
      </c>
      <c r="D13" s="492" t="s">
        <v>7</v>
      </c>
      <c r="E13" s="742" t="str">
        <f>IF(VLOOKUP(CONCATENATE($C$2,"-",$D13),Languages!$A:$D,1,TRUE)=CONCATENATE($C$2,"-",$D13),VLOOKUP(CONCATENATE($C$2,"-",$D13),Languages!$A:$D,Kybermittari!$C$7,TRUE),NA())</f>
        <v>Organisaatio tunnistaa ja dokumentoi toimintaansa kohdistuvia kyberriskejä - vaikka ei välttämättä systemaattisesti ja kaiken kattavasti.</v>
      </c>
      <c r="F13" s="742"/>
      <c r="G13" s="742"/>
      <c r="H13" s="493">
        <f t="shared" ref="H13:H24" si="0">IFERROR(INT(LEFT($I13,1)),0)</f>
        <v>0</v>
      </c>
      <c r="I13" s="54"/>
      <c r="J13" s="526"/>
      <c r="K13" s="494"/>
      <c r="L13" s="469"/>
      <c r="M13" s="545"/>
      <c r="N13" s="469"/>
      <c r="P13" s="548"/>
    </row>
    <row r="14" spans="1:16" s="495" customFormat="1" ht="45" customHeight="1" x14ac:dyDescent="0.3">
      <c r="A14" s="469"/>
      <c r="B14" s="749"/>
      <c r="C14" s="753"/>
      <c r="D14" s="492" t="s">
        <v>9</v>
      </c>
      <c r="E14" s="742" t="str">
        <f>IF(VLOOKUP(CONCATENATE($C$2,"-",$D14),Languages!$A:$D,1,TRUE)=CONCATENATE($C$2,"-",$D14),VLOOKUP(CONCATENATE($C$2,"-",$D14),Languages!$A:$D,Kybermittari!$C$7,TRUE),NA())</f>
        <v>Organisaatio hallitsee toimintaansa kohdistuvia kyberriskejä pienentämällä, hyväksymällä, välttämällä tai siirtämällä riskejä (eli toteuttamalla erityisiä riskienhallintatoimenpiteitä) - ainakin tapauskohtaisesti.</v>
      </c>
      <c r="F14" s="742"/>
      <c r="G14" s="742"/>
      <c r="H14" s="493">
        <f t="shared" si="0"/>
        <v>0</v>
      </c>
      <c r="I14" s="54"/>
      <c r="J14" s="526"/>
      <c r="K14" s="494"/>
      <c r="L14" s="469"/>
      <c r="M14" s="545"/>
      <c r="N14" s="469"/>
      <c r="P14" s="548"/>
    </row>
    <row r="15" spans="1:16" s="501" customFormat="1" ht="10" customHeight="1" x14ac:dyDescent="0.3">
      <c r="A15" s="549"/>
      <c r="B15" s="476"/>
      <c r="C15" s="498"/>
      <c r="D15" s="499"/>
      <c r="E15" s="500"/>
      <c r="H15" s="499"/>
      <c r="I15" s="502"/>
      <c r="J15" s="502"/>
      <c r="K15" s="550"/>
      <c r="L15" s="549"/>
      <c r="M15" s="545"/>
      <c r="N15" s="549"/>
      <c r="P15" s="551"/>
    </row>
    <row r="16" spans="1:16" s="495" customFormat="1" ht="60" customHeight="1" x14ac:dyDescent="0.3">
      <c r="A16" s="469"/>
      <c r="B16" s="749"/>
      <c r="C16" s="751">
        <v>2</v>
      </c>
      <c r="D16" s="492" t="s">
        <v>10</v>
      </c>
      <c r="E16" s="742" t="str">
        <f>IF(VLOOKUP(CONCATENATE($C$2,"-",$D16),Languages!$A:$D,1,TRUE)=CONCATENATE($C$2,"-",$D16),VLOOKUP(CONCATENATE($C$2,"-",$D16),Languages!$A:$D,Kybermittari!$C$7,TRUE),NA())</f>
        <v>Organisaatio toteuttaa riskiarviointeja tai -kartoituksia, joiden avulla se tunnistaa kyberriskejä. Arviointeja toteutetaan organisaation määrittelemien kriteereiden mukaisesti (esim. määräajoin, järjestelmämuutosten yhteydessä tai uhkaympäristön muuttuessa).</v>
      </c>
      <c r="F16" s="742"/>
      <c r="G16" s="742"/>
      <c r="H16" s="493">
        <f t="shared" si="0"/>
        <v>0</v>
      </c>
      <c r="I16" s="54"/>
      <c r="J16" s="526"/>
      <c r="K16" s="494"/>
      <c r="L16" s="469"/>
      <c r="M16" s="545"/>
      <c r="N16" s="469"/>
      <c r="P16" s="548"/>
    </row>
    <row r="17" spans="1:16" s="495" customFormat="1" ht="35" customHeight="1" x14ac:dyDescent="0.3">
      <c r="A17" s="469"/>
      <c r="B17" s="749"/>
      <c r="C17" s="752"/>
      <c r="D17" s="492" t="s">
        <v>11</v>
      </c>
      <c r="E17" s="748" t="str">
        <f>IF(VLOOKUP(CONCATENATE($C$2,"-",$D17),Languages!$A:$D,1,TRUE)=CONCATENATE($C$2,"-",$D17),VLOOKUP(CONCATENATE($C$2,"-",$D17),Languages!$A:$D,Kybermittari!$C$7,TRUE),NA())</f>
        <v>Tunnistetut riskit kirjataan riskirekisteriin (joka on virallinen listaus organisaation tunnistamista riskeistä ja riskeihin liittyvistä tiedoista).</v>
      </c>
      <c r="F17" s="748"/>
      <c r="G17" s="748"/>
      <c r="H17" s="493">
        <f t="shared" si="0"/>
        <v>0</v>
      </c>
      <c r="I17" s="54"/>
      <c r="J17" s="526"/>
      <c r="K17" s="494"/>
      <c r="L17" s="469"/>
      <c r="M17" s="545"/>
      <c r="N17" s="469"/>
      <c r="P17" s="548"/>
    </row>
    <row r="18" spans="1:16" s="495" customFormat="1" ht="46" customHeight="1" x14ac:dyDescent="0.3">
      <c r="A18" s="469"/>
      <c r="B18" s="749"/>
      <c r="C18" s="752"/>
      <c r="D18" s="503" t="s">
        <v>12</v>
      </c>
      <c r="E18" s="748" t="str">
        <f>IF(VLOOKUP(CONCATENATE($C$2,"-",$D18),Languages!$A:$D,1,TRUE)=CONCATENATE($C$2,"-",$D18),VLOOKUP(CONCATENATE($C$2,"-",$D18),Languages!$A:$D,Kybermittari!$C$7,TRUE),NA())</f>
        <v>Riskit analysoidaan ja arvioidaan, jotta voidaan valita ja priorisoida sopivat riskienhallintatoimenpiteet [kts. RISK-2b].</v>
      </c>
      <c r="F18" s="748"/>
      <c r="G18" s="748"/>
      <c r="H18" s="493">
        <f t="shared" si="0"/>
        <v>0</v>
      </c>
      <c r="I18" s="54"/>
      <c r="J18" s="527"/>
      <c r="K18" s="504"/>
      <c r="L18" s="524"/>
      <c r="M18" s="545"/>
      <c r="N18" s="524"/>
      <c r="P18" s="548"/>
    </row>
    <row r="19" spans="1:16" s="495" customFormat="1" ht="47" customHeight="1" x14ac:dyDescent="0.3">
      <c r="A19" s="469"/>
      <c r="B19" s="749"/>
      <c r="C19" s="753"/>
      <c r="D19" s="503" t="s">
        <v>13</v>
      </c>
      <c r="E19" s="748" t="str">
        <f>IF(VLOOKUP(CONCATENATE($C$2,"-",$D19),Languages!$A:$D,1,TRUE)=CONCATENATE($C$2,"-",$D19),VLOOKUP(CONCATENATE($C$2,"-",$D19),Languages!$A:$D,Kybermittari!$C$7,TRUE),NA())</f>
        <v>Organisaatio seuraa riskien kehittymistä, jotta se voi varmistua valittujen riskienhallintatoimenpiteiden toteuttamisesta ja asettamiensa tavoitteiden saavuttamisesta [kts. PROGRAM-1b].</v>
      </c>
      <c r="F19" s="748"/>
      <c r="G19" s="748"/>
      <c r="H19" s="493">
        <f t="shared" si="0"/>
        <v>0</v>
      </c>
      <c r="I19" s="54"/>
      <c r="J19" s="527"/>
      <c r="K19" s="504"/>
      <c r="L19" s="524"/>
      <c r="M19" s="545"/>
      <c r="N19" s="524"/>
      <c r="P19" s="548"/>
    </row>
    <row r="20" spans="1:16" s="501" customFormat="1" ht="10" customHeight="1" x14ac:dyDescent="0.3">
      <c r="A20" s="549"/>
      <c r="B20" s="476"/>
      <c r="C20" s="498"/>
      <c r="D20" s="499"/>
      <c r="E20" s="500"/>
      <c r="H20" s="499"/>
      <c r="I20" s="502"/>
      <c r="J20" s="502"/>
      <c r="K20" s="550"/>
      <c r="L20" s="524"/>
      <c r="M20" s="545"/>
      <c r="N20" s="524"/>
      <c r="P20" s="551"/>
    </row>
    <row r="21" spans="1:16" s="495" customFormat="1" ht="35" customHeight="1" x14ac:dyDescent="0.3">
      <c r="A21" s="469"/>
      <c r="B21" s="747"/>
      <c r="C21" s="754">
        <v>3</v>
      </c>
      <c r="D21" s="503" t="s">
        <v>14</v>
      </c>
      <c r="E21" s="748" t="str">
        <f>IF(VLOOKUP(CONCATENATE($C$2,"-",$D21),Languages!$A:$D,1,TRUE)=CONCATENATE($C$2,"-",$D21),VLOOKUP(CONCATENATE($C$2,"-",$D21),Languages!$A:$D,Kybermittari!$C$7,TRUE),NA())</f>
        <v>Organisaatio toteuttaa riskiarviointeja tai -kartoituksia, jotka kattavat kaikki toiminnan osa-alueen toimintavarmuuden kannalta tärkeät suojattavat kohteet.</v>
      </c>
      <c r="F21" s="748"/>
      <c r="G21" s="748"/>
      <c r="H21" s="493">
        <f t="shared" si="0"/>
        <v>0</v>
      </c>
      <c r="I21" s="54"/>
      <c r="J21" s="527"/>
      <c r="K21" s="504"/>
      <c r="L21" s="524"/>
      <c r="M21" s="545"/>
      <c r="N21" s="524"/>
      <c r="P21" s="548"/>
    </row>
    <row r="22" spans="1:16" s="495" customFormat="1" ht="47" customHeight="1" x14ac:dyDescent="0.3">
      <c r="A22" s="469"/>
      <c r="B22" s="747"/>
      <c r="C22" s="755"/>
      <c r="D22" s="503" t="s">
        <v>15</v>
      </c>
      <c r="E22" s="748" t="str">
        <f>IF(VLOOKUP(CONCATENATE($C$2,"-",$D22),Languages!$A:$D,1,TRUE)=CONCATENATE($C$2,"-",$D22),VLOOKUP(CONCATENATE($C$2,"-",$D22),Languages!$A:$D,Kybermittari!$C$7,TRUE),NA())</f>
        <v>Organisaation riskienhallintaohjelman osana on luoda ja ylläpitää johtotason riskienhallintapolitiikka (tai vastaava ohjeistus), jonka kautta toteutuu organisaation laajempi riskienhallintastrategia.</v>
      </c>
      <c r="F22" s="748"/>
      <c r="G22" s="748"/>
      <c r="H22" s="493">
        <f t="shared" si="0"/>
        <v>0</v>
      </c>
      <c r="I22" s="54"/>
      <c r="J22" s="527"/>
      <c r="K22" s="504"/>
      <c r="L22" s="524"/>
      <c r="M22" s="545"/>
      <c r="N22" s="524"/>
      <c r="P22" s="548"/>
    </row>
    <row r="23" spans="1:16" s="495" customFormat="1" ht="35" customHeight="1" x14ac:dyDescent="0.3">
      <c r="A23" s="469"/>
      <c r="B23" s="747"/>
      <c r="C23" s="755"/>
      <c r="D23" s="503" t="s">
        <v>16</v>
      </c>
      <c r="E23" s="748" t="str">
        <f>IF(VLOOKUP(CONCATENATE($C$2,"-",$D23),Languages!$A:$D,1,TRUE)=CONCATENATE($C$2,"-",$D23),VLOOKUP(CONCATENATE($C$2,"-",$D23),Languages!$A:$D,Kybermittari!$C$7,TRUE),NA())</f>
        <v>Organisaatio käyttää ajan tasalla olevaa kyberarkkitehtuuria [kts. ARCHITECTURE-1c] ohjaamaan kyberriskien analysointia ja arviointia.</v>
      </c>
      <c r="F23" s="748"/>
      <c r="G23" s="748"/>
      <c r="H23" s="493">
        <f t="shared" si="0"/>
        <v>0</v>
      </c>
      <c r="I23" s="54"/>
      <c r="J23" s="527"/>
      <c r="K23" s="504"/>
      <c r="L23" s="524"/>
      <c r="M23" s="545"/>
      <c r="N23" s="524"/>
      <c r="P23" s="548"/>
    </row>
    <row r="24" spans="1:16" s="495" customFormat="1" ht="35" customHeight="1" x14ac:dyDescent="0.3">
      <c r="A24" s="469"/>
      <c r="B24" s="747"/>
      <c r="C24" s="756"/>
      <c r="D24" s="503" t="s">
        <v>18</v>
      </c>
      <c r="E24" s="748" t="str">
        <f>IF(VLOOKUP(CONCATENATE($C$2,"-",$D24),Languages!$A:$D,1,TRUE)=CONCATENATE($C$2,"-",$D24),VLOOKUP(CONCATENATE($C$2,"-",$D24),Languages!$A:$D,Kybermittari!$C$7,TRUE),NA())</f>
        <v>Riskirekisteri kattaa kaikki riskiarvioiden kautta tunnistetut kyberriskit ja sitä hyödynnetään aktiivisesti riskienhallintatoimenpiteiden tukena.</v>
      </c>
      <c r="F24" s="748"/>
      <c r="G24" s="748"/>
      <c r="H24" s="493">
        <f t="shared" si="0"/>
        <v>0</v>
      </c>
      <c r="I24" s="54"/>
      <c r="J24" s="527"/>
      <c r="K24" s="504"/>
      <c r="L24" s="524"/>
      <c r="M24" s="545"/>
      <c r="N24" s="524"/>
      <c r="P24" s="548"/>
    </row>
    <row r="25" spans="1:16" s="343" customFormat="1" ht="30" customHeight="1" x14ac:dyDescent="0.3">
      <c r="A25" s="332"/>
      <c r="B25" s="461"/>
      <c r="C25" s="462">
        <v>2</v>
      </c>
      <c r="D25" s="462" t="str">
        <f>IF(VLOOKUP(CONCATENATE($C$2,"-",C25),Languages!$A:$D,1,TRUE)=CONCATENATE($C$2,"-",C25),VLOOKUP(CONCATENATE($C$2,"-",C25),Languages!$A:$D,Kybermittari!$C$7,TRUE),NA())</f>
        <v>Strategia kyberturvallisuusriskien hallintaan</v>
      </c>
      <c r="E25" s="336"/>
      <c r="F25" s="506"/>
      <c r="G25" s="506"/>
      <c r="H25" s="506" t="str">
        <f t="shared" ref="H25" si="1">IFERROR(INT(LEFT($I25,1)),"")</f>
        <v/>
      </c>
      <c r="I25" s="506"/>
      <c r="J25" s="507"/>
      <c r="K25" s="339"/>
      <c r="L25" s="340"/>
      <c r="M25" s="533"/>
      <c r="N25" s="340"/>
      <c r="O25" s="341"/>
      <c r="P25" s="468"/>
    </row>
    <row r="26" spans="1:16" ht="90" customHeight="1" x14ac:dyDescent="0.25">
      <c r="A26" s="297"/>
      <c r="B26" s="552"/>
      <c r="C26" s="745" t="str">
        <f>IF(VLOOKUP(CONCATENATE($C$2,"-",$C25,"-0"),Languages!$A:$D,1,TRUE)=CONCATENATE($C$2,"-",$C25,"-0"),VLOOKUP(CONCATENATE($C$2,"-",$C25,"-0"),Languages!$A:$D,Kybermittari!$C$7,TRUE),NA())</f>
        <v>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v>
      </c>
      <c r="D26" s="745"/>
      <c r="E26" s="745"/>
      <c r="F26" s="745"/>
      <c r="G26" s="745"/>
      <c r="H26" s="745"/>
      <c r="I26" s="745"/>
      <c r="J26" s="745"/>
      <c r="K26" s="553"/>
      <c r="L26" s="422"/>
      <c r="M26" s="533"/>
      <c r="N26" s="422"/>
    </row>
    <row r="27" spans="1:16" s="556" customFormat="1" ht="20" customHeight="1" x14ac:dyDescent="0.25">
      <c r="A27" s="554"/>
      <c r="B27" s="536"/>
      <c r="C27" s="537" t="str">
        <f>IF(VLOOKUP("GEN-LEVEL",Languages!$A:$D,1,TRUE)="GEN-LEVEL",VLOOKUP("GEN-LEVEL",Languages!$A:$D,Kybermittari!$C$7,TRUE),NA())</f>
        <v>Taso</v>
      </c>
      <c r="D27" s="537"/>
      <c r="E27" s="538" t="str">
        <f>IF(VLOOKUP("GEN-PRACTICE",Languages!$A:$D,1,TRUE)="GEN-PRACTICE",VLOOKUP("GEN-PRACTICE",Languages!$A:$D,Kybermittari!$C$7,TRUE),NA())</f>
        <v>Käytäntö</v>
      </c>
      <c r="F27" s="539"/>
      <c r="G27" s="540"/>
      <c r="H27" s="541"/>
      <c r="I27" s="538" t="str">
        <f>IF(VLOOKUP("GEN-ANSWER",Languages!$A:$D,1,TRUE)="GEN-ANSWER",VLOOKUP("GEN-ANSWER",Languages!$A:$D,Kybermittari!$C$7,TRUE),NA())</f>
        <v>Vastaus</v>
      </c>
      <c r="J27" s="540" t="str">
        <f>IF(VLOOKUP("GEN-COMMENT",Languages!$A:$D,1,TRUE)="GEN-COMMENT",VLOOKUP("GEN-COMMENT",Languages!$A:$D,Kybermittari!$C$7,TRUE),NA())</f>
        <v>Kommentti ja viittaukset</v>
      </c>
      <c r="K27" s="542"/>
      <c r="L27" s="535"/>
      <c r="M27" s="531"/>
      <c r="N27" s="554"/>
      <c r="O27" s="555"/>
      <c r="P27" s="468"/>
    </row>
    <row r="28" spans="1:16" s="486" customFormat="1" ht="10" customHeight="1" x14ac:dyDescent="0.3">
      <c r="A28" s="523"/>
      <c r="B28" s="476"/>
      <c r="C28" s="487"/>
      <c r="D28" s="487"/>
      <c r="E28" s="488"/>
      <c r="F28" s="489"/>
      <c r="G28" s="490"/>
      <c r="H28" s="491"/>
      <c r="I28" s="488"/>
      <c r="J28" s="490"/>
      <c r="K28" s="482"/>
      <c r="L28" s="483"/>
      <c r="M28" s="545"/>
      <c r="N28" s="523"/>
      <c r="O28" s="484"/>
      <c r="P28" s="468"/>
    </row>
    <row r="29" spans="1:16" s="486" customFormat="1" ht="20" customHeight="1" x14ac:dyDescent="0.3">
      <c r="A29" s="523"/>
      <c r="B29" s="476"/>
      <c r="C29" s="557">
        <v>1</v>
      </c>
      <c r="D29" s="558"/>
      <c r="E29" s="559"/>
      <c r="F29" s="560"/>
      <c r="G29" s="561"/>
      <c r="H29" s="562"/>
      <c r="I29" s="559"/>
      <c r="J29" s="563"/>
      <c r="K29" s="482"/>
      <c r="L29" s="483"/>
      <c r="M29" s="545"/>
      <c r="N29" s="523"/>
      <c r="O29" s="484"/>
      <c r="P29" s="468"/>
    </row>
    <row r="30" spans="1:16" s="486" customFormat="1" ht="10" customHeight="1" x14ac:dyDescent="0.3">
      <c r="A30" s="523"/>
      <c r="B30" s="476"/>
      <c r="C30" s="564"/>
      <c r="D30" s="487"/>
      <c r="E30" s="488"/>
      <c r="F30" s="489"/>
      <c r="G30" s="490"/>
      <c r="H30" s="491"/>
      <c r="I30" s="488"/>
      <c r="J30" s="490"/>
      <c r="K30" s="482"/>
      <c r="L30" s="483"/>
      <c r="M30" s="545"/>
      <c r="N30" s="523"/>
      <c r="O30" s="484"/>
      <c r="P30" s="468"/>
    </row>
    <row r="31" spans="1:16" s="510" customFormat="1" ht="35" customHeight="1" x14ac:dyDescent="0.3">
      <c r="A31" s="524"/>
      <c r="B31" s="741"/>
      <c r="C31" s="757">
        <v>2</v>
      </c>
      <c r="D31" s="508" t="s">
        <v>20</v>
      </c>
      <c r="E31" s="742" t="str">
        <f>IF(VLOOKUP(CONCATENATE($C$2,"-",$D31),Languages!$A:$D,1,TRUE)=CONCATENATE($C$2,"-",$D31),VLOOKUP(CONCATENATE($C$2,"-",$D31),Languages!$A:$D,Kybermittari!$C$7,TRUE),NA())</f>
        <v>Organisaatiolla on dokumentoitu strategia tai johtotason politiikka kyberriskien hallintaan.</v>
      </c>
      <c r="F31" s="742"/>
      <c r="G31" s="742"/>
      <c r="H31" s="493">
        <f t="shared" ref="H31:H36" si="2">IFERROR(INT(LEFT($I31,1)),0)</f>
        <v>0</v>
      </c>
      <c r="I31" s="54"/>
      <c r="J31" s="526"/>
      <c r="K31" s="509"/>
      <c r="L31" s="524"/>
      <c r="M31" s="545"/>
      <c r="N31" s="524"/>
      <c r="O31" s="495"/>
      <c r="P31" s="548"/>
    </row>
    <row r="32" spans="1:16" s="510" customFormat="1" ht="60" customHeight="1" x14ac:dyDescent="0.3">
      <c r="A32" s="524"/>
      <c r="B32" s="741"/>
      <c r="C32" s="759"/>
      <c r="D32" s="508" t="s">
        <v>21</v>
      </c>
      <c r="E32" s="742" t="str">
        <f>IF(VLOOKUP(CONCATENATE($C$2,"-",$D32),Languages!$A:$D,1,TRUE)=CONCATENATE($C$2,"-",$D32),VLOOKUP(CONCATENATE($C$2,"-",$D32),Languages!$A:$D,Kybermittari!$C$7,TRUE),NA())</f>
        <v>Organisaatio on määrittänyt kyberriskien arviointikriteerit, joita se käyttää riskien arviontiin, luokitteluun ja priorisointiin. Kriteereiden määrittelyssä on huomioitu riskien mahdollinen vaikuttavuus, organisaation riskinottohalukkuus ja käytettävissä olevat riskienhallintatoimenpiteet.</v>
      </c>
      <c r="F32" s="742"/>
      <c r="G32" s="742"/>
      <c r="H32" s="493">
        <f t="shared" si="2"/>
        <v>0</v>
      </c>
      <c r="I32" s="54"/>
      <c r="J32" s="527"/>
      <c r="K32" s="509"/>
      <c r="L32" s="524"/>
      <c r="M32" s="545"/>
      <c r="N32" s="524"/>
      <c r="O32" s="495"/>
      <c r="P32" s="548"/>
    </row>
    <row r="33" spans="1:16" s="510" customFormat="1" ht="10" customHeight="1" x14ac:dyDescent="0.3">
      <c r="A33" s="524"/>
      <c r="B33" s="511"/>
      <c r="C33" s="565"/>
      <c r="D33" s="513"/>
      <c r="E33" s="501"/>
      <c r="F33" s="501"/>
      <c r="G33" s="501"/>
      <c r="H33" s="499"/>
      <c r="I33" s="502"/>
      <c r="J33" s="514"/>
      <c r="K33" s="509"/>
      <c r="L33" s="524"/>
      <c r="M33" s="545"/>
      <c r="N33" s="524"/>
      <c r="O33" s="495"/>
      <c r="P33" s="548"/>
    </row>
    <row r="34" spans="1:16" s="510" customFormat="1" ht="35" customHeight="1" x14ac:dyDescent="0.3">
      <c r="A34" s="524"/>
      <c r="B34" s="741"/>
      <c r="C34" s="757">
        <v>3</v>
      </c>
      <c r="D34" s="508" t="s">
        <v>22</v>
      </c>
      <c r="E34" s="742" t="str">
        <f>IF(VLOOKUP(CONCATENATE($C$2,"-",$D34),Languages!$A:$D,1,TRUE)=CONCATENATE($C$2,"-",$D34),VLOOKUP(CONCATENATE($C$2,"-",$D34),Languages!$A:$D,Kybermittari!$C$7,TRUE),NA())</f>
        <v>Strategia tai johtotason politiikka määrittää organisaation käytettävissä olevat riskienhallintatoimenpiteet.</v>
      </c>
      <c r="F34" s="742"/>
      <c r="G34" s="742"/>
      <c r="H34" s="493">
        <f t="shared" si="2"/>
        <v>0</v>
      </c>
      <c r="I34" s="54"/>
      <c r="J34" s="527"/>
      <c r="K34" s="509"/>
      <c r="L34" s="524"/>
      <c r="M34" s="545"/>
      <c r="N34" s="524"/>
      <c r="O34" s="495"/>
      <c r="P34" s="548"/>
    </row>
    <row r="35" spans="1:16" s="510" customFormat="1" ht="35" customHeight="1" x14ac:dyDescent="0.3">
      <c r="A35" s="524"/>
      <c r="B35" s="741"/>
      <c r="C35" s="758"/>
      <c r="D35" s="508" t="s">
        <v>23</v>
      </c>
      <c r="E35" s="742" t="str">
        <f>IF(VLOOKUP(CONCATENATE($C$2,"-",$D35),Languages!$A:$D,1,TRUE)=CONCATENATE($C$2,"-",$D35),VLOOKUP(CONCATENATE($C$2,"-",$D35),Languages!$A:$D,Kybermittari!$C$7,TRUE),NA())</f>
        <v>Strategiaa tai johtotason politiikkaa päivitetään säännöllisesti, jotta se huomioi muutokset organisaation uhkaympäristössä.</v>
      </c>
      <c r="F35" s="742"/>
      <c r="G35" s="742"/>
      <c r="H35" s="493">
        <f t="shared" si="2"/>
        <v>0</v>
      </c>
      <c r="I35" s="54"/>
      <c r="J35" s="527"/>
      <c r="K35" s="509"/>
      <c r="L35" s="524"/>
      <c r="M35" s="545"/>
      <c r="N35" s="524"/>
      <c r="O35" s="495"/>
      <c r="P35" s="548"/>
    </row>
    <row r="36" spans="1:16" s="510" customFormat="1" ht="60" customHeight="1" x14ac:dyDescent="0.3">
      <c r="A36" s="524"/>
      <c r="B36" s="741"/>
      <c r="C36" s="759"/>
      <c r="D36" s="508" t="s">
        <v>24</v>
      </c>
      <c r="E36" s="742" t="str">
        <f>IF(VLOOKUP(CONCATENATE($C$2,"-",$D36),Languages!$A:$D,1,TRUE)=CONCATENATE($C$2,"-",$D36),VLOOKUP(CONCATENATE($C$2,"-",$D36),Languages!$A:$D,Kybermittari!$C$7,TRUE),NA())</f>
        <v>Organisaatiolla on yhtenäinen riskien luokittelumalli ("risk taxonomy"), jota se käyttää kyberriskien hallintaan. Riskien luokittelumalli on yhtenäinen, kattava ja vakioitu joukko riskiluokkia, joita koko organisaatio käyttää erityyppisten riskien luokitteluun ja tunnistamiseen.</v>
      </c>
      <c r="F36" s="742"/>
      <c r="G36" s="742"/>
      <c r="H36" s="493">
        <f t="shared" si="2"/>
        <v>0</v>
      </c>
      <c r="I36" s="54"/>
      <c r="J36" s="527"/>
      <c r="K36" s="509"/>
      <c r="L36" s="524"/>
      <c r="M36" s="545"/>
      <c r="N36" s="524"/>
      <c r="O36" s="495"/>
      <c r="P36" s="548"/>
    </row>
    <row r="37" spans="1:16" s="343" customFormat="1" ht="30" customHeight="1" x14ac:dyDescent="0.3">
      <c r="A37" s="340"/>
      <c r="B37" s="461"/>
      <c r="C37" s="462">
        <v>3</v>
      </c>
      <c r="D37" s="462" t="str">
        <f>IF(VLOOKUP(CONCATENATE($C$2,"-",C37),Languages!$A:$D,1,TRUE)=CONCATENATE($C$2,"-",C37),VLOOKUP(CONCATENATE($C$2,"-",C37),Languages!$A:$D,Kybermittari!$C$7,TRUE),NA())</f>
        <v>Yleisiä hallintatoimia</v>
      </c>
      <c r="E37" s="336"/>
      <c r="F37" s="506"/>
      <c r="G37" s="506"/>
      <c r="H37" s="506" t="str">
        <f t="shared" ref="H37" si="3">IFERROR(INT(LEFT($I37,1)),"")</f>
        <v/>
      </c>
      <c r="I37" s="506"/>
      <c r="J37" s="507"/>
      <c r="K37" s="339"/>
      <c r="L37" s="340"/>
      <c r="M37" s="533"/>
      <c r="N37" s="340"/>
      <c r="O37" s="341"/>
      <c r="P37" s="468"/>
    </row>
    <row r="38" spans="1:16" ht="47" customHeight="1" x14ac:dyDescent="0.25">
      <c r="A38" s="422"/>
      <c r="B38" s="566"/>
      <c r="C38" s="745" t="str">
        <f>IF(VLOOKUP(CONCATENATE($C$2,"-",$C37,"-0"),Languages!$A:$D,1,TRUE)=CONCATENATE($C$2,"-",$C37,"-0"),VLOOKUP(CONCATENATE($C$2,"-",$C37,"-0"),Languages!$A:$D,Kybermittari!$C$7,TRUE),NA())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38" s="745"/>
      <c r="E38" s="745"/>
      <c r="F38" s="745"/>
      <c r="G38" s="745"/>
      <c r="H38" s="745"/>
      <c r="I38" s="745"/>
      <c r="J38" s="745"/>
      <c r="K38" s="553"/>
      <c r="L38" s="422"/>
      <c r="M38" s="533"/>
      <c r="N38" s="422"/>
    </row>
    <row r="39" spans="1:16" s="556" customFormat="1" ht="20" customHeight="1" x14ac:dyDescent="0.25">
      <c r="A39" s="554"/>
      <c r="B39" s="536"/>
      <c r="C39" s="537" t="str">
        <f>IF(VLOOKUP("GEN-LEVEL",Languages!$A:$D,1,TRUE)="GEN-LEVEL",VLOOKUP("GEN-LEVEL",Languages!$A:$D,Kybermittari!$C$7,TRUE),NA())</f>
        <v>Taso</v>
      </c>
      <c r="D39" s="537"/>
      <c r="E39" s="538" t="str">
        <f>IF(VLOOKUP("GEN-PRACTICE",Languages!$A:$D,1,TRUE)="GEN-PRACTICE",VLOOKUP("GEN-PRACTICE",Languages!$A:$D,Kybermittari!$C$7,TRUE),NA())</f>
        <v>Käytäntö</v>
      </c>
      <c r="F39" s="539"/>
      <c r="G39" s="540"/>
      <c r="H39" s="541"/>
      <c r="I39" s="538" t="str">
        <f>IF(VLOOKUP("GEN-ANSWER",Languages!$A:$D,1,TRUE)="GEN-ANSWER",VLOOKUP("GEN-ANSWER",Languages!$A:$D,Kybermittari!$C$7,TRUE),NA())</f>
        <v>Vastaus</v>
      </c>
      <c r="J39" s="540" t="str">
        <f>IF(VLOOKUP("GEN-COMMENT",Languages!$A:$D,1,TRUE)="GEN-COMMENT",VLOOKUP("GEN-COMMENT",Languages!$A:$D,Kybermittari!$C$7,TRUE),NA())</f>
        <v>Kommentti ja viittaukset</v>
      </c>
      <c r="K39" s="542"/>
      <c r="L39" s="535"/>
      <c r="M39" s="531"/>
      <c r="N39" s="554"/>
      <c r="O39" s="555"/>
      <c r="P39" s="567"/>
    </row>
    <row r="40" spans="1:16" s="577" customFormat="1" ht="10" customHeight="1" x14ac:dyDescent="0.25">
      <c r="A40" s="568"/>
      <c r="B40" s="569"/>
      <c r="C40" s="570"/>
      <c r="D40" s="570"/>
      <c r="E40" s="571"/>
      <c r="F40" s="572"/>
      <c r="G40" s="573"/>
      <c r="H40" s="574"/>
      <c r="I40" s="571"/>
      <c r="J40" s="573"/>
      <c r="K40" s="575"/>
      <c r="L40" s="441"/>
      <c r="M40" s="533"/>
      <c r="N40" s="568"/>
      <c r="O40" s="576"/>
      <c r="P40" s="567"/>
    </row>
    <row r="41" spans="1:16" s="577" customFormat="1" ht="20" customHeight="1" x14ac:dyDescent="0.25">
      <c r="A41" s="568"/>
      <c r="B41" s="569"/>
      <c r="C41" s="557">
        <v>1</v>
      </c>
      <c r="D41" s="578"/>
      <c r="E41" s="579"/>
      <c r="F41" s="580"/>
      <c r="G41" s="581"/>
      <c r="H41" s="582"/>
      <c r="I41" s="579"/>
      <c r="J41" s="583"/>
      <c r="K41" s="575"/>
      <c r="L41" s="441"/>
      <c r="M41" s="533"/>
      <c r="N41" s="568"/>
      <c r="O41" s="576"/>
      <c r="P41" s="567"/>
    </row>
    <row r="42" spans="1:16" s="577" customFormat="1" ht="10" customHeight="1" x14ac:dyDescent="0.25">
      <c r="A42" s="568"/>
      <c r="B42" s="569"/>
      <c r="C42" s="570"/>
      <c r="D42" s="570"/>
      <c r="E42" s="571"/>
      <c r="F42" s="572"/>
      <c r="G42" s="573"/>
      <c r="H42" s="574"/>
      <c r="I42" s="571"/>
      <c r="J42" s="573"/>
      <c r="K42" s="575"/>
      <c r="L42" s="441"/>
      <c r="M42" s="533"/>
      <c r="N42" s="568"/>
      <c r="O42" s="576"/>
      <c r="P42" s="567"/>
    </row>
    <row r="43" spans="1:16" s="510" customFormat="1" ht="35" customHeight="1" x14ac:dyDescent="0.3">
      <c r="A43" s="524"/>
      <c r="B43" s="741"/>
      <c r="C43" s="757">
        <v>2</v>
      </c>
      <c r="D43" s="508" t="s">
        <v>25</v>
      </c>
      <c r="E43" s="742" t="str">
        <f>IF(VLOOKUP(CONCATENATE($C$2,"-",$D43),Languages!$A:$D,1,TRUE)=CONCATENATE($C$2,"-",$D43),VLOOKUP(CONCATENATE($C$2,"-",$D43),Languages!$A:$D,Kybermittari!$C$7,TRUE),NA())</f>
        <v>Riskienhallinnan (RISK) osioon liittyen on määritetty dokumentoidut käytännöt, joita noudatetaan ja pidetään yllä.</v>
      </c>
      <c r="F43" s="742"/>
      <c r="G43" s="742"/>
      <c r="H43" s="493">
        <f t="shared" ref="H43:H49" si="4">IFERROR(INT(LEFT($I43,1)),0)</f>
        <v>0</v>
      </c>
      <c r="I43" s="54"/>
      <c r="J43" s="527"/>
      <c r="K43" s="509"/>
      <c r="L43" s="524"/>
      <c r="M43" s="545"/>
      <c r="N43" s="524"/>
      <c r="O43" s="495"/>
      <c r="P43" s="548"/>
    </row>
    <row r="44" spans="1:16" s="510" customFormat="1" ht="35" customHeight="1" x14ac:dyDescent="0.3">
      <c r="A44" s="524"/>
      <c r="B44" s="741"/>
      <c r="C44" s="758"/>
      <c r="D44" s="508" t="s">
        <v>26</v>
      </c>
      <c r="E44" s="742" t="str">
        <f>IF(VLOOKUP(CONCATENATE($C$2,"-",$D44),Languages!$A:$D,1,TRUE)=CONCATENATE($C$2,"-",$D44),VLOOKUP(CONCATENATE($C$2,"-",$D44),Languages!$A:$D,Kybermittari!$C$7,TRUE),NA())</f>
        <v>Riskienhallinnan (RISK) osion toimintaan on saatavilla riittävät resurssit (henkilöstö, rahoitus ja työkalut).</v>
      </c>
      <c r="F44" s="742"/>
      <c r="G44" s="742"/>
      <c r="H44" s="493">
        <f t="shared" si="4"/>
        <v>0</v>
      </c>
      <c r="I44" s="54"/>
      <c r="J44" s="527"/>
      <c r="K44" s="509"/>
      <c r="L44" s="524"/>
      <c r="M44" s="545"/>
      <c r="N44" s="524"/>
      <c r="O44" s="495"/>
      <c r="P44" s="548"/>
    </row>
    <row r="45" spans="1:16" s="510" customFormat="1" ht="35" customHeight="1" x14ac:dyDescent="0.3">
      <c r="A45" s="524"/>
      <c r="B45" s="741"/>
      <c r="C45" s="758"/>
      <c r="D45" s="508" t="s">
        <v>27</v>
      </c>
      <c r="E45" s="742" t="str">
        <f>IF(VLOOKUP(CONCATENATE($C$2,"-",$D45),Languages!$A:$D,1,TRUE)=CONCATENATE($C$2,"-",$D45),VLOOKUP(CONCATENATE($C$2,"-",$D45),Languages!$A:$D,Kybermittari!$C$7,TRUE),NA())</f>
        <v>Riskienhallinnan (RISK) osion toimintaa suorittavilla työntekijöillä on riittävät tiedot ja taidot tehtäviensä suorittamiseen.</v>
      </c>
      <c r="F45" s="742"/>
      <c r="G45" s="742"/>
      <c r="H45" s="493">
        <f t="shared" si="4"/>
        <v>0</v>
      </c>
      <c r="I45" s="54"/>
      <c r="J45" s="527"/>
      <c r="K45" s="509"/>
      <c r="L45" s="524"/>
      <c r="M45" s="545"/>
      <c r="N45" s="524"/>
      <c r="O45" s="495"/>
      <c r="P45" s="548"/>
    </row>
    <row r="46" spans="1:16" s="510" customFormat="1" ht="35" customHeight="1" x14ac:dyDescent="0.3">
      <c r="A46" s="524"/>
      <c r="B46" s="741"/>
      <c r="C46" s="759"/>
      <c r="D46" s="508" t="s">
        <v>28</v>
      </c>
      <c r="E46" s="742" t="str">
        <f>IF(VLOOKUP(CONCATENATE($C$2,"-",$D46),Languages!$A:$D,1,TRUE)=CONCATENATE($C$2,"-",$D46),VLOOKUP(CONCATENATE($C$2,"-",$D46),Languages!$A:$D,Kybermittari!$C$7,TRUE),NA())</f>
        <v>Riskienhallinnan (RISK) osion toiminnan suorittamiseen liittyvät vastuut ja valtuudet on osoitettu nimetyille työntekijöille.</v>
      </c>
      <c r="F46" s="742"/>
      <c r="G46" s="742"/>
      <c r="H46" s="493">
        <f t="shared" si="4"/>
        <v>0</v>
      </c>
      <c r="I46" s="54"/>
      <c r="J46" s="527"/>
      <c r="K46" s="509"/>
      <c r="L46" s="524"/>
      <c r="M46" s="545"/>
      <c r="N46" s="524"/>
      <c r="O46" s="495"/>
      <c r="P46" s="548"/>
    </row>
    <row r="47" spans="1:16" s="510" customFormat="1" ht="10" customHeight="1" x14ac:dyDescent="0.3">
      <c r="A47" s="524"/>
      <c r="B47" s="511"/>
      <c r="C47" s="565"/>
      <c r="D47" s="513"/>
      <c r="E47" s="501"/>
      <c r="F47" s="501"/>
      <c r="G47" s="501"/>
      <c r="H47" s="499"/>
      <c r="I47" s="502"/>
      <c r="J47" s="514"/>
      <c r="K47" s="509"/>
      <c r="L47" s="524"/>
      <c r="M47" s="545"/>
      <c r="N47" s="524"/>
      <c r="O47" s="495"/>
      <c r="P47" s="548"/>
    </row>
    <row r="48" spans="1:16" s="510" customFormat="1" ht="47" customHeight="1" x14ac:dyDescent="0.3">
      <c r="A48" s="524"/>
      <c r="B48" s="741"/>
      <c r="C48" s="757">
        <v>3</v>
      </c>
      <c r="D48" s="508" t="s">
        <v>29</v>
      </c>
      <c r="E48" s="742" t="str">
        <f>IF(VLOOKUP(CONCATENATE($C$2,"-",$D48),Languages!$A:$D,1,TRUE)=CONCATENATE($C$2,"-",$D48),VLOOKUP(CONCATENATE($C$2,"-",$D48),Languages!$A:$D,Kybermittari!$C$7,TRUE),NA())</f>
        <v>Riskienhallinnan (RISK) osion toiminta perustuu organisaation määrittämään ja ylläpitämään johtotason politiikkaan (tai vastaavaan ohjeistukseen), jossa asetetaan nimenomaisia vaatimuksia tämän osion toiminnalle.</v>
      </c>
      <c r="F48" s="742"/>
      <c r="G48" s="742"/>
      <c r="H48" s="493">
        <f t="shared" si="4"/>
        <v>0</v>
      </c>
      <c r="I48" s="54"/>
      <c r="J48" s="527"/>
      <c r="K48" s="509"/>
      <c r="L48" s="524"/>
      <c r="M48" s="545"/>
      <c r="N48" s="524"/>
      <c r="O48" s="495"/>
      <c r="P48" s="548"/>
    </row>
    <row r="49" spans="1:16" s="510" customFormat="1" ht="35" customHeight="1" x14ac:dyDescent="0.3">
      <c r="A49" s="524"/>
      <c r="B49" s="741"/>
      <c r="C49" s="758"/>
      <c r="D49" s="508" t="s">
        <v>30</v>
      </c>
      <c r="E49" s="742" t="str">
        <f>IF(VLOOKUP(CONCATENATE($C$2,"-",$D49),Languages!$A:$D,1,TRUE)=CONCATENATE($C$2,"-",$D49),VLOOKUP(CONCATENATE($C$2,"-",$D49),Languages!$A:$D,Kybermittari!$C$7,TRUE),NA())</f>
        <v>Riskienhallinnan (RISK) osion toiminnalle on määritetty suoriutumistavoitteet, joiden toteutumista seurataan [kts. PROGRAM-1b].</v>
      </c>
      <c r="F49" s="742"/>
      <c r="G49" s="742"/>
      <c r="H49" s="493">
        <f t="shared" si="4"/>
        <v>0</v>
      </c>
      <c r="I49" s="54"/>
      <c r="J49" s="527"/>
      <c r="K49" s="509"/>
      <c r="L49" s="524"/>
      <c r="M49" s="545"/>
      <c r="N49" s="524"/>
      <c r="O49" s="495"/>
      <c r="P49" s="548"/>
    </row>
    <row r="50" spans="1:16" s="510" customFormat="1" ht="35" customHeight="1" x14ac:dyDescent="0.3">
      <c r="A50" s="524"/>
      <c r="B50" s="741"/>
      <c r="C50" s="759"/>
      <c r="D50" s="508" t="s">
        <v>31</v>
      </c>
      <c r="E50" s="742" t="str">
        <f>IF(VLOOKUP(CONCATENATE($C$2,"-",$D50),Languages!$A:$D,1,TRUE)=CONCATENATE($C$2,"-",$D50),VLOOKUP(CONCATENATE($C$2,"-",$D50),Languages!$A:$D,Kybermittari!$C$7,TRUE),NA())</f>
        <v>Riskienhallinnan (RISK) osioon liittyvät käytännöt on standardoitu läpi koko organisaation ja niitä kehitetään aktiivisesti.</v>
      </c>
      <c r="F50" s="742"/>
      <c r="G50" s="742"/>
      <c r="H50" s="493">
        <f>IFERROR(INT(LEFT($I50,1)),0)</f>
        <v>0</v>
      </c>
      <c r="I50" s="54"/>
      <c r="J50" s="527"/>
      <c r="K50" s="509"/>
      <c r="L50" s="524"/>
      <c r="M50" s="545"/>
      <c r="N50" s="524"/>
      <c r="O50" s="495"/>
      <c r="P50" s="548"/>
    </row>
    <row r="51" spans="1:16" x14ac:dyDescent="0.25">
      <c r="A51" s="422"/>
      <c r="B51" s="423"/>
      <c r="C51" s="516"/>
      <c r="D51" s="424"/>
      <c r="E51" s="425"/>
      <c r="F51" s="425"/>
      <c r="G51" s="425"/>
      <c r="H51" s="427"/>
      <c r="I51" s="428"/>
      <c r="J51" s="517"/>
      <c r="K51" s="429"/>
      <c r="L51" s="422"/>
      <c r="M51" s="533"/>
      <c r="N51" s="422"/>
    </row>
    <row r="52" spans="1:16" x14ac:dyDescent="0.25">
      <c r="A52" s="422"/>
      <c r="B52" s="422"/>
      <c r="C52" s="422"/>
      <c r="D52" s="422"/>
      <c r="E52" s="422"/>
      <c r="F52" s="422"/>
      <c r="G52" s="422"/>
      <c r="H52" s="431"/>
      <c r="I52" s="422"/>
      <c r="J52" s="422"/>
      <c r="K52" s="422"/>
      <c r="L52" s="422"/>
      <c r="M52" s="584"/>
      <c r="N52" s="422"/>
    </row>
  </sheetData>
  <sheetProtection sheet="1" objects="1" scenarios="1"/>
  <mergeCells count="40">
    <mergeCell ref="B48:B50"/>
    <mergeCell ref="C48:C50"/>
    <mergeCell ref="E48:G48"/>
    <mergeCell ref="E49:G49"/>
    <mergeCell ref="E50:G50"/>
    <mergeCell ref="C38:J38"/>
    <mergeCell ref="B43:B46"/>
    <mergeCell ref="C43:C46"/>
    <mergeCell ref="E43:G43"/>
    <mergeCell ref="E44:G44"/>
    <mergeCell ref="E45:G45"/>
    <mergeCell ref="E46:G46"/>
    <mergeCell ref="C26:J26"/>
    <mergeCell ref="B31:B32"/>
    <mergeCell ref="C31:C32"/>
    <mergeCell ref="E31:G31"/>
    <mergeCell ref="E32:G32"/>
    <mergeCell ref="B34:B36"/>
    <mergeCell ref="C34:C36"/>
    <mergeCell ref="E34:G34"/>
    <mergeCell ref="E35:G35"/>
    <mergeCell ref="E36:G36"/>
    <mergeCell ref="B21:B24"/>
    <mergeCell ref="C21:C24"/>
    <mergeCell ref="E21:G21"/>
    <mergeCell ref="E22:G22"/>
    <mergeCell ref="E23:G23"/>
    <mergeCell ref="E24:G24"/>
    <mergeCell ref="C5:J5"/>
    <mergeCell ref="C10:J10"/>
    <mergeCell ref="B13:B14"/>
    <mergeCell ref="C13:C14"/>
    <mergeCell ref="E13:G13"/>
    <mergeCell ref="E14:G14"/>
    <mergeCell ref="B16:B19"/>
    <mergeCell ref="C16:C19"/>
    <mergeCell ref="E16:G16"/>
    <mergeCell ref="E17:G17"/>
    <mergeCell ref="E18:G18"/>
    <mergeCell ref="E19:G19"/>
  </mergeCells>
  <conditionalFormatting sqref="H1:H19 H21:H1048576">
    <cfRule type="containsText" dxfId="64" priority="5" operator="containsText" text="0">
      <formula>NOT(ISERROR(SEARCH("0",H1)))</formula>
    </cfRule>
  </conditionalFormatting>
  <conditionalFormatting sqref="H20">
    <cfRule type="containsText" dxfId="63" priority="1" operator="containsText" text="0">
      <formula>NOT(ISERROR(SEARCH("0",H20)))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1B4C1B6A-AFFB-4548-A42F-B5B084DA096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H1:H19 H21:H1048576</xm:sqref>
        </x14:conditionalFormatting>
        <x14:conditionalFormatting xmlns:xm="http://schemas.microsoft.com/office/excel/2006/main">
          <x14:cfRule type="iconSet" priority="2" id="{CBB0FF2E-5DE8-4331-8726-9F4EB791AC0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I16:I19 I13:I14 I21:I24 I31:I32 I34:I36 I43:I46 I48:I50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77</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Toimitusketjun ja ulkoisten riippuvuuksien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0" t="str">
        <f>IF(VLOOKUP(CONCATENATE(C2,"-0"),Languages!$A:$D,1,TRUE)=CONCATENATE(C2,"-0"),VLOOKUP(CONCATENATE(C2,"-0"),Languages!$A:$D,Kybermittari!$C$7,TRUE),NA())</f>
        <v>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Riippuvuuksien tunnistaminen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Riippuvuusriskien hallinta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Riippuvuuksien tunnistaminen</v>
      </c>
      <c r="E9" s="336"/>
      <c r="F9" s="463"/>
      <c r="G9" s="463"/>
      <c r="H9" s="464"/>
      <c r="I9" s="464"/>
      <c r="J9" s="465"/>
      <c r="K9" s="466"/>
      <c r="L9" s="344"/>
      <c r="M9" s="533"/>
      <c r="N9" s="344"/>
      <c r="O9" s="341"/>
      <c r="P9" s="341"/>
    </row>
    <row r="10" spans="1:16" s="475" customFormat="1" ht="35" customHeight="1" x14ac:dyDescent="0.3">
      <c r="A10" s="469"/>
      <c r="B10" s="470"/>
      <c r="C10" s="745" t="str">
        <f>IF(VLOOKUP(CONCATENATE($C$2,"-",$C9,"-0"),Languages!$A:$D,1,TRUE)=CONCATENATE($C$2,"-",$C9,"-0"),VLOOKUP(CONCATENATE($C$2,"-",$C9,"-0"),Languages!$A:$D,Kybermittari!$C$7,TRUE),NA())</f>
        <v>Riippuvuuksien tunnistamiseen kuuluu, että organisaatio tunnistaa ja ymmärtää perusteellisesti (toiminnan osa-alueen toimintavarmuuden kannalta) tärkeimmät ulkoiset suhteet toimittajiin, alihankkijoihin ja muihin kolmansiin osapuoliin.</v>
      </c>
      <c r="D10" s="745"/>
      <c r="E10" s="745"/>
      <c r="F10" s="745"/>
      <c r="G10" s="745"/>
      <c r="H10" s="745"/>
      <c r="I10" s="745"/>
      <c r="J10" s="745"/>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60" customHeight="1" x14ac:dyDescent="0.3">
      <c r="A13" s="469"/>
      <c r="B13" s="749"/>
      <c r="C13" s="751">
        <v>1</v>
      </c>
      <c r="D13" s="492" t="s">
        <v>7</v>
      </c>
      <c r="E13" s="742" t="str">
        <f>IF(VLOOKUP(CONCATENATE($C$2,"-",$D13),Languages!$A:$D,1,TRUE)=CONCATENATE($C$2,"-",$D13),VLOOKUP(CONCATENATE($C$2,"-",$D13),Languages!$A:$D,Kybermittari!$C$7,TRUE),NA())</f>
        <v>Organisaatio tunnistaa riippuvuudet tärkeimpiin IT- ja OT-toimittajiin - vaikka ei välttämättä systemaattisesti ja kaiken kattavasti. Toimittajariippuvuuksilla tarkoitetaan sisäisiä ja ulkoisia toimijoita, joista toiminnan osa-alueen toimintavarmuus on riippuvainen.</v>
      </c>
      <c r="F13" s="742"/>
      <c r="G13" s="742"/>
      <c r="H13" s="493">
        <f t="shared" ref="H13" si="0">IFERROR(INT(LEFT($I13,1)),0)</f>
        <v>0</v>
      </c>
      <c r="I13" s="54"/>
      <c r="J13" s="526"/>
      <c r="K13" s="494"/>
      <c r="L13" s="483"/>
      <c r="M13" s="545"/>
      <c r="N13" s="483"/>
    </row>
    <row r="14" spans="1:16" s="495" customFormat="1" ht="60" customHeight="1" x14ac:dyDescent="0.3">
      <c r="A14" s="469"/>
      <c r="B14" s="749"/>
      <c r="C14" s="753"/>
      <c r="D14" s="492" t="s">
        <v>9</v>
      </c>
      <c r="E14" s="742" t="str">
        <f>IF(VLOOKUP(CONCATENATE($C$2,"-",$D14),Languages!$A:$D,1,TRUE)=CONCATENATE($C$2,"-",$D14),VLOOKUP(CONCATENATE($C$2,"-",$D14),Languages!$A:$D,Kybermittari!$C$7,TRUE),NA())</f>
        <v>Organisaatio tunnistaa riippuvuudet tärkeimpiin asiakkaisiin - vaikka ei välttämättä systemaattisesti ja kaiken kattavasti. Asiakasriippuvuuksilla tarkoitetaan sisäisiä ja ulkoisia toimijoita, jotka ovat riippuvaisia toiminnan osa-alueen toimintavarmuudesta.</v>
      </c>
      <c r="F14" s="742"/>
      <c r="G14" s="742"/>
      <c r="H14" s="493">
        <f>IFERROR(INT(LEFT($I14,1)),0)</f>
        <v>0</v>
      </c>
      <c r="I14" s="54"/>
      <c r="J14" s="526"/>
      <c r="K14" s="494"/>
      <c r="L14" s="483"/>
      <c r="M14" s="545"/>
      <c r="N14" s="483"/>
    </row>
    <row r="15" spans="1:16" s="495" customFormat="1" ht="10" customHeight="1" x14ac:dyDescent="0.3">
      <c r="A15" s="469"/>
      <c r="B15" s="613"/>
      <c r="C15" s="498"/>
      <c r="D15" s="499"/>
      <c r="E15" s="501"/>
      <c r="F15" s="501"/>
      <c r="G15" s="501"/>
      <c r="H15" s="499"/>
      <c r="I15" s="502"/>
      <c r="J15" s="502"/>
      <c r="K15" s="494"/>
      <c r="L15" s="483"/>
      <c r="M15" s="545"/>
      <c r="N15" s="483"/>
    </row>
    <row r="16" spans="1:16" s="495" customFormat="1" ht="35" customHeight="1" x14ac:dyDescent="0.3">
      <c r="A16" s="469"/>
      <c r="B16" s="749"/>
      <c r="C16" s="751">
        <v>2</v>
      </c>
      <c r="D16" s="492" t="s">
        <v>10</v>
      </c>
      <c r="E16" s="742" t="str">
        <f>IF(VLOOKUP(CONCATENATE($C$2,"-",$D16),Languages!$A:$D,1,TRUE)=CONCATENATE($C$2,"-",$D16),VLOOKUP(CONCATENATE($C$2,"-",$D16),Languages!$A:$D,Kybermittari!$C$7,TRUE),NA())</f>
        <v>Organisaatio käyttää toimittajariippuvuuksien tunnistamiseen vakiintuneita kriteereitä.</v>
      </c>
      <c r="F16" s="742"/>
      <c r="G16" s="742"/>
      <c r="H16" s="493">
        <f>IFERROR(INT(LEFT($I16,1)),0)</f>
        <v>0</v>
      </c>
      <c r="I16" s="54"/>
      <c r="J16" s="526"/>
      <c r="K16" s="494"/>
      <c r="L16" s="469"/>
      <c r="M16" s="545"/>
      <c r="N16" s="469"/>
    </row>
    <row r="17" spans="1:16" s="495" customFormat="1" ht="35" customHeight="1" x14ac:dyDescent="0.3">
      <c r="A17" s="469"/>
      <c r="B17" s="749"/>
      <c r="C17" s="752"/>
      <c r="D17" s="492" t="s">
        <v>11</v>
      </c>
      <c r="E17" s="748" t="str">
        <f>IF(VLOOKUP(CONCATENATE($C$2,"-",$D17),Languages!$A:$D,1,TRUE)=CONCATENATE($C$2,"-",$D17),VLOOKUP(CONCATENATE($C$2,"-",$D17),Languages!$A:$D,Kybermittari!$C$7,TRUE),NA())</f>
        <v>Organisaatio käyttää asiakasriippuvuuksien tunnistamiseen vakiintuneita kriteereitä.</v>
      </c>
      <c r="F17" s="748"/>
      <c r="G17" s="748"/>
      <c r="H17" s="493">
        <f>IFERROR(INT(LEFT($I17,1)),0)</f>
        <v>0</v>
      </c>
      <c r="I17" s="54"/>
      <c r="J17" s="526"/>
      <c r="K17" s="494"/>
      <c r="L17" s="469"/>
      <c r="M17" s="545"/>
      <c r="N17" s="469"/>
    </row>
    <row r="18" spans="1:16" s="495" customFormat="1" ht="35" customHeight="1" x14ac:dyDescent="0.3">
      <c r="A18" s="469"/>
      <c r="B18" s="749"/>
      <c r="C18" s="752"/>
      <c r="D18" s="503" t="s">
        <v>12</v>
      </c>
      <c r="E18" s="748" t="str">
        <f>IF(VLOOKUP(CONCATENATE($C$2,"-",$D18),Languages!$A:$D,1,TRUE)=CONCATENATE($C$2,"-",$D18),VLOOKUP(CONCATENATE($C$2,"-",$D18),Languages!$A:$D,Kybermittari!$C$7,TRUE),NA())</f>
        <v>Organisaatio tunnistaa kriittiset riippuvuudet pääasiallisista tai ainoista toimittajista ja muut välttämättömät riippuvuudet.</v>
      </c>
      <c r="F18" s="748"/>
      <c r="G18" s="748"/>
      <c r="H18" s="493">
        <f>IFERROR(INT(LEFT($I18,1)),0)</f>
        <v>0</v>
      </c>
      <c r="I18" s="54"/>
      <c r="J18" s="527"/>
      <c r="K18" s="504"/>
      <c r="L18" s="549"/>
      <c r="M18" s="545"/>
      <c r="N18" s="549"/>
    </row>
    <row r="19" spans="1:16" s="495" customFormat="1" ht="35" customHeight="1" x14ac:dyDescent="0.3">
      <c r="A19" s="469"/>
      <c r="B19" s="749"/>
      <c r="C19" s="753"/>
      <c r="D19" s="503" t="s">
        <v>13</v>
      </c>
      <c r="E19" s="748" t="str">
        <f>IF(VLOOKUP(CONCATENATE($C$2,"-",$D19),Languages!$A:$D,1,TRUE)=CONCATENATE($C$2,"-",$D19),VLOOKUP(CONCATENATE($C$2,"-",$D19),Languages!$A:$D,Kybermittari!$C$7,TRUE),NA())</f>
        <v>Tunnistetut riippuvuudet on priorisoitu.</v>
      </c>
      <c r="F19" s="748"/>
      <c r="G19" s="748"/>
      <c r="H19" s="493">
        <f>IFERROR(INT(LEFT($I19,1)),0)</f>
        <v>0</v>
      </c>
      <c r="I19" s="54"/>
      <c r="J19" s="527"/>
      <c r="K19" s="504"/>
      <c r="L19" s="469"/>
      <c r="M19" s="545"/>
      <c r="N19" s="469"/>
    </row>
    <row r="20" spans="1:16" s="495" customFormat="1" ht="10" customHeight="1" x14ac:dyDescent="0.3">
      <c r="A20" s="469"/>
      <c r="B20" s="613"/>
      <c r="C20" s="498"/>
      <c r="D20" s="614"/>
      <c r="E20" s="615"/>
      <c r="F20" s="615"/>
      <c r="G20" s="615"/>
      <c r="H20" s="499"/>
      <c r="I20" s="502"/>
      <c r="J20" s="514"/>
      <c r="K20" s="504"/>
      <c r="L20" s="469"/>
      <c r="M20" s="545"/>
      <c r="N20" s="469"/>
    </row>
    <row r="21" spans="1:16" s="495" customFormat="1" ht="35" customHeight="1" x14ac:dyDescent="0.3">
      <c r="A21" s="469"/>
      <c r="B21" s="616"/>
      <c r="C21" s="617">
        <v>3</v>
      </c>
      <c r="D21" s="503" t="s">
        <v>14</v>
      </c>
      <c r="E21" s="748" t="str">
        <f>IF(VLOOKUP(CONCATENATE($C$2,"-",$D21),Languages!$A:$D,1,TRUE)=CONCATENATE($C$2,"-",$D21),VLOOKUP(CONCATENATE($C$2,"-",$D21),Languages!$A:$D,Kybermittari!$C$7,TRUE),NA())</f>
        <v>Organisaatio perustaa riippuvuuksien tunnistamisen ja priorisoinnin määrittämiinsä riskien arviointikriteereihin [kts. RISK-2b].</v>
      </c>
      <c r="F21" s="748"/>
      <c r="G21" s="748"/>
      <c r="H21" s="493">
        <f>IFERROR(INT(LEFT($I21,1)),0)</f>
        <v>0</v>
      </c>
      <c r="I21" s="54"/>
      <c r="J21" s="527"/>
      <c r="K21" s="50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Riippuvuusriskien hallinta</v>
      </c>
      <c r="E22" s="336"/>
      <c r="F22" s="506"/>
      <c r="G22" s="506"/>
      <c r="H22" s="506"/>
      <c r="I22" s="506" t="s">
        <v>19</v>
      </c>
      <c r="J22" s="507"/>
      <c r="K22" s="339"/>
      <c r="L22" s="347"/>
      <c r="M22" s="533"/>
      <c r="N22" s="347"/>
      <c r="O22" s="341"/>
      <c r="P22" s="341"/>
    </row>
    <row r="23" spans="1:16" s="475" customFormat="1" ht="76" customHeight="1" x14ac:dyDescent="0.3">
      <c r="A23" s="469"/>
      <c r="B23" s="470"/>
      <c r="C23" s="745" t="str">
        <f>IF(VLOOKUP(CONCATENATE($C$2,"-",$C22,"-0"),Languages!$A:$D,1,TRUE)=CONCATENATE($C$2,"-",$C22,"-0"),VLOOKUP(CONCATENATE($C$2,"-",$C22,"-0"),Languages!$A:$D,Kybermittari!$C$7,TRUE),NA())</f>
        <v>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v>
      </c>
      <c r="D23" s="745"/>
      <c r="E23" s="745"/>
      <c r="F23" s="745"/>
      <c r="G23" s="745"/>
      <c r="H23" s="745"/>
      <c r="I23" s="745"/>
      <c r="J23" s="745"/>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47" customHeight="1" x14ac:dyDescent="0.3">
      <c r="A26" s="524"/>
      <c r="B26" s="741"/>
      <c r="C26" s="757">
        <v>1</v>
      </c>
      <c r="D26" s="508" t="s">
        <v>20</v>
      </c>
      <c r="E26" s="742" t="str">
        <f>IF(VLOOKUP(CONCATENATE($C$2,"-",$D26),Languages!$A:$D,1,TRUE)=CONCATENATE($C$2,"-",$D26),VLOOKUP(CONCATENATE($C$2,"-",$D26),Languages!$A:$D,Kybermittari!$C$7,TRUE),NA())</f>
        <v>Organisaatio tunnistaa toimittajasuhteisiin ja muihin riippuvuuksiin liittyvät merkittävät kyberriskit ja puuttuu niihin - vaikka ei välttämättä systemaattisesti ja kaiken kattavasti.</v>
      </c>
      <c r="F26" s="742"/>
      <c r="G26" s="742"/>
      <c r="H26" s="493">
        <f>IFERROR(INT(LEFT($I26,1)),0)</f>
        <v>0</v>
      </c>
      <c r="I26" s="54"/>
      <c r="J26" s="526"/>
      <c r="K26" s="509"/>
      <c r="L26" s="524"/>
      <c r="M26" s="545"/>
      <c r="N26" s="524"/>
      <c r="O26" s="495"/>
      <c r="P26" s="495"/>
    </row>
    <row r="27" spans="1:16" s="510" customFormat="1" ht="47" customHeight="1" x14ac:dyDescent="0.3">
      <c r="A27" s="524"/>
      <c r="B27" s="741"/>
      <c r="C27" s="759"/>
      <c r="D27" s="508" t="s">
        <v>21</v>
      </c>
      <c r="E27" s="742" t="str">
        <f>IF(VLOOKUP(CONCATENATE($C$2,"-",$D27),Languages!$A:$D,1,TRUE)=CONCATENATE($C$2,"-",$D27),VLOOKUP(CONCATENATE($C$2,"-",$D27),Languages!$A:$D,Kybermittari!$C$7,TRUE),NA())</f>
        <v>Organisaatio huomioi kyberturvallisuusvaatimukset, kun se muodostaa suhteita toimittajien ja muiden kolmansien osapuolten kanssa - vaikka ei välttämättä systemaattisesti ja kaiken kattavasti.</v>
      </c>
      <c r="F27" s="742"/>
      <c r="G27" s="742"/>
      <c r="H27" s="493">
        <f>IFERROR(INT(LEFT($I27,1)),0)</f>
        <v>0</v>
      </c>
      <c r="I27" s="54"/>
      <c r="J27" s="527"/>
      <c r="K27" s="509"/>
      <c r="L27" s="524"/>
      <c r="M27" s="545"/>
      <c r="N27" s="524"/>
      <c r="O27" s="495"/>
      <c r="P27" s="495"/>
    </row>
    <row r="28" spans="1:16" s="510" customFormat="1" ht="10" customHeight="1" x14ac:dyDescent="0.3">
      <c r="A28" s="524"/>
      <c r="B28" s="511"/>
      <c r="C28" s="565"/>
      <c r="D28" s="513"/>
      <c r="E28" s="501"/>
      <c r="F28" s="501"/>
      <c r="G28" s="501"/>
      <c r="H28" s="499"/>
      <c r="I28" s="502"/>
      <c r="J28" s="514"/>
      <c r="K28" s="509"/>
      <c r="L28" s="524"/>
      <c r="M28" s="545"/>
      <c r="N28" s="524"/>
      <c r="O28" s="495"/>
      <c r="P28" s="495"/>
    </row>
    <row r="29" spans="1:16" s="510" customFormat="1" ht="35" customHeight="1" x14ac:dyDescent="0.3">
      <c r="A29" s="524"/>
      <c r="B29" s="511"/>
      <c r="C29" s="757">
        <v>2</v>
      </c>
      <c r="D29" s="508" t="s">
        <v>22</v>
      </c>
      <c r="E29" s="742" t="str">
        <f>IF(VLOOKUP(CONCATENATE($C$2,"-",$D29),Languages!$A:$D,1,TRUE)=CONCATENATE($C$2,"-",$D29),VLOOKUP(CONCATENATE($C$2,"-",$D29),Languages!$A:$D,Kybermittari!$C$7,TRUE),NA())</f>
        <v>Tunnistetut riippuvuuksiin liittyvät kyberriskit kirjataan riskirekisteriin [kts. RISK-1d].</v>
      </c>
      <c r="F29" s="742"/>
      <c r="G29" s="742"/>
      <c r="H29" s="493">
        <f t="shared" ref="H29:H35" si="1">IFERROR(INT(LEFT($I29,1)),0)</f>
        <v>0</v>
      </c>
      <c r="I29" s="54"/>
      <c r="J29" s="527"/>
      <c r="K29" s="509"/>
      <c r="L29" s="524"/>
      <c r="M29" s="545"/>
      <c r="N29" s="524"/>
      <c r="O29" s="495"/>
      <c r="P29" s="495"/>
    </row>
    <row r="30" spans="1:16" s="510" customFormat="1" ht="35" customHeight="1" x14ac:dyDescent="0.3">
      <c r="A30" s="524"/>
      <c r="B30" s="511"/>
      <c r="C30" s="758"/>
      <c r="D30" s="508" t="s">
        <v>23</v>
      </c>
      <c r="E30" s="742" t="str">
        <f>IF(VLOOKUP(CONCATENATE($C$2,"-",$D30),Languages!$A:$D,1,TRUE)=CONCATENATE($C$2,"-",$D30),VLOOKUP(CONCATENATE($C$2,"-",$D30),Languages!$A:$D,Kybermittari!$C$7,TRUE),NA())</f>
        <v>Toimittajien ja muiden kolmansien osapuolten kanssa laadittavissa sopimuksissa huomioidaan kyberuhkatietojen jakaminen.</v>
      </c>
      <c r="F30" s="742"/>
      <c r="G30" s="742"/>
      <c r="H30" s="493">
        <f t="shared" si="1"/>
        <v>0</v>
      </c>
      <c r="I30" s="54"/>
      <c r="J30" s="527"/>
      <c r="K30" s="509"/>
      <c r="L30" s="524"/>
      <c r="M30" s="545"/>
      <c r="N30" s="524"/>
      <c r="O30" s="495"/>
      <c r="P30" s="495"/>
    </row>
    <row r="31" spans="1:16" s="510" customFormat="1" ht="80" customHeight="1" x14ac:dyDescent="0.3">
      <c r="A31" s="524"/>
      <c r="B31" s="511"/>
      <c r="C31" s="758"/>
      <c r="D31" s="508" t="s">
        <v>24</v>
      </c>
      <c r="E31" s="742" t="str">
        <f>IF(VLOOKUP(CONCATENATE($C$2,"-",$D31),Languages!$A:$D,1,TRUE)=CONCATENATE($C$2,"-",$D31),VLOOKUP(CONCATENATE($C$2,"-",$D31),Languages!$A:$D,Kybermittari!$C$7,TRUE),NA())</f>
        <v>Organisaatiolla on vakiintunut tapa asettaa kyberturvallisuusvaatimuksia toimittajien ja muiden kolmansien osapuolten kanssa laadittaviin sopimuksiin (esim. sopimuspohjat). Mikäli toimittajasuhteeseen kuuluu ohjelmistoja tai ohjelmistokehitystä, kuuluu vaatimuksiin turvallisten ohjelmistokehitysmenetelmien noudattaminen.</v>
      </c>
      <c r="F31" s="742"/>
      <c r="G31" s="742"/>
      <c r="H31" s="493">
        <f t="shared" si="1"/>
        <v>0</v>
      </c>
      <c r="I31" s="54"/>
      <c r="J31" s="527"/>
      <c r="K31" s="509"/>
      <c r="L31" s="618"/>
      <c r="M31" s="545"/>
      <c r="N31" s="618"/>
      <c r="O31" s="495"/>
      <c r="P31" s="495"/>
    </row>
    <row r="32" spans="1:16" s="510" customFormat="1" ht="35" customHeight="1" x14ac:dyDescent="0.3">
      <c r="A32" s="524"/>
      <c r="B32" s="511"/>
      <c r="C32" s="758"/>
      <c r="D32" s="508" t="s">
        <v>112</v>
      </c>
      <c r="E32" s="742" t="str">
        <f>IF(VLOOKUP(CONCATENATE($C$2,"-",$D32),Languages!$A:$D,1,TRUE)=CONCATENATE($C$2,"-",$D32),VLOOKUP(CONCATENATE($C$2,"-",$D32),Languages!$A:$D,Kybermittari!$C$7,TRUE),NA())</f>
        <v>Toimittajien ja muiden kolmansien osapuolten kanssa laadittavissa sopimuksissa on mukana kyberturvallisuusvaatimukset.</v>
      </c>
      <c r="F32" s="742"/>
      <c r="G32" s="742"/>
      <c r="H32" s="493">
        <f t="shared" si="1"/>
        <v>0</v>
      </c>
      <c r="I32" s="54"/>
      <c r="J32" s="527"/>
      <c r="K32" s="509"/>
      <c r="L32" s="524"/>
      <c r="M32" s="545"/>
      <c r="N32" s="524"/>
      <c r="O32" s="495"/>
      <c r="P32" s="495"/>
    </row>
    <row r="33" spans="1:16" s="510" customFormat="1" ht="47" customHeight="1" x14ac:dyDescent="0.3">
      <c r="A33" s="524"/>
      <c r="B33" s="511"/>
      <c r="C33" s="758"/>
      <c r="D33" s="508" t="s">
        <v>176</v>
      </c>
      <c r="E33" s="742" t="str">
        <f>IF(VLOOKUP(CONCATENATE($C$2,"-",$D33),Languages!$A:$D,1,TRUE)=CONCATENATE($C$2,"-",$D33),VLOOKUP(CONCATENATE($C$2,"-",$D33),Languages!$A:$D,Kybermittari!$C$7,TRUE),NA())</f>
        <v>Toimittajien ja muiden kolmansien osapuolten arviointi- ja valintaprosessissa sekä muissa hankintapäätöksissä huomioidaan asetettujen kyberturvallisuusvaatimusten täyttyminen.</v>
      </c>
      <c r="F33" s="742"/>
      <c r="G33" s="742"/>
      <c r="H33" s="493">
        <f t="shared" si="1"/>
        <v>0</v>
      </c>
      <c r="I33" s="54"/>
      <c r="J33" s="527"/>
      <c r="K33" s="509"/>
      <c r="L33" s="483"/>
      <c r="M33" s="545"/>
      <c r="N33" s="523"/>
      <c r="O33" s="495"/>
      <c r="P33" s="495"/>
    </row>
    <row r="34" spans="1:16" s="510" customFormat="1" ht="47" customHeight="1" x14ac:dyDescent="0.3">
      <c r="A34" s="524"/>
      <c r="B34" s="511"/>
      <c r="C34" s="758"/>
      <c r="D34" s="508" t="s">
        <v>178</v>
      </c>
      <c r="E34" s="742" t="str">
        <f>IF(VLOOKUP(CONCATENATE($C$2,"-",$D34),Languages!$A:$D,1,TRUE)=CONCATENATE($C$2,"-",$D34),VLOOKUP(CONCATENATE($C$2,"-",$D34),Languages!$A:$D,Kybermittari!$C$7,TRUE),NA())</f>
        <v>Toimittajien ja muiden kolmansien osapuolten kanssa laadittavissa sopimuksissa on mukana vaatimus ilmoittaa tuotteen tai palvelun toimittamiseen liittyvistä kyberhäiriöistä.</v>
      </c>
      <c r="F34" s="742"/>
      <c r="G34" s="742"/>
      <c r="H34" s="493">
        <f t="shared" si="1"/>
        <v>0</v>
      </c>
      <c r="I34" s="54"/>
      <c r="J34" s="527"/>
      <c r="K34" s="509"/>
      <c r="L34" s="483"/>
      <c r="M34" s="545"/>
      <c r="N34" s="523"/>
      <c r="O34" s="495"/>
      <c r="P34" s="495"/>
    </row>
    <row r="35" spans="1:16" s="510" customFormat="1" ht="44" customHeight="1" x14ac:dyDescent="0.3">
      <c r="A35" s="524"/>
      <c r="B35" s="511"/>
      <c r="C35" s="759"/>
      <c r="D35" s="508" t="s">
        <v>209</v>
      </c>
      <c r="E35" s="742" t="str">
        <f>IF(VLOOKUP(CONCATENATE($C$2,"-",$D35),Languages!$A:$D,1,TRUE)=CONCATENATE($C$2,"-",$D35),VLOOKUP(CONCATENATE($C$2,"-",$D35),Languages!$A:$D,Kybermittari!$C$7,TRUE),NA())</f>
        <v>Organisaatio arvioi säännöllisin väliajoin toimittajien ja muiden kolmansien osapuolten kykyä täyttää asetetut kyberturvallisuusvaatimukset.</v>
      </c>
      <c r="F35" s="742"/>
      <c r="G35" s="742"/>
      <c r="H35" s="493">
        <f t="shared" si="1"/>
        <v>0</v>
      </c>
      <c r="I35" s="54"/>
      <c r="J35" s="527"/>
      <c r="K35" s="509"/>
      <c r="L35" s="483"/>
      <c r="M35" s="545"/>
      <c r="N35" s="523"/>
      <c r="O35" s="495"/>
      <c r="P35" s="495"/>
    </row>
    <row r="36" spans="1:16" s="510" customFormat="1" ht="10" customHeight="1" x14ac:dyDescent="0.3">
      <c r="A36" s="524"/>
      <c r="B36" s="511"/>
      <c r="C36" s="565"/>
      <c r="D36" s="513"/>
      <c r="E36" s="501"/>
      <c r="F36" s="501"/>
      <c r="G36" s="501"/>
      <c r="H36" s="499"/>
      <c r="I36" s="502"/>
      <c r="J36" s="514"/>
      <c r="K36" s="509"/>
      <c r="L36" s="483"/>
      <c r="M36" s="545"/>
      <c r="N36" s="523"/>
      <c r="O36" s="495"/>
      <c r="P36" s="495"/>
    </row>
    <row r="37" spans="1:16" s="510" customFormat="1" ht="47" customHeight="1" x14ac:dyDescent="0.3">
      <c r="A37" s="524"/>
      <c r="B37" s="511"/>
      <c r="C37" s="757">
        <v>3</v>
      </c>
      <c r="D37" s="508" t="s">
        <v>211</v>
      </c>
      <c r="E37" s="742" t="str">
        <f>IF(VLOOKUP(CONCATENATE($C$2,"-",$D37),Languages!$A:$D,1,TRUE)=CONCATENATE($C$2,"-",$D37),VLOOKUP(CONCATENATE($C$2,"-",$D37),Languages!$A:$D,Kybermittari!$C$7,TRUE),NA())</f>
        <v>Organisaatio asettamat kyberturvallisuusvaatimukset toimittajien ja muiden kolmansien osapuolten kanssa laadittaviin sopimuksiin perustuvat organisaation määrittämiin riskien arviointikriteereihin [kts. RISK-2b].</v>
      </c>
      <c r="F37" s="742"/>
      <c r="G37" s="742"/>
      <c r="H37" s="493">
        <f>IFERROR(INT(LEFT($I37,1)),0)</f>
        <v>0</v>
      </c>
      <c r="I37" s="54"/>
      <c r="J37" s="527"/>
      <c r="K37" s="509"/>
      <c r="L37" s="483"/>
      <c r="M37" s="545"/>
      <c r="N37" s="523"/>
      <c r="O37" s="495"/>
      <c r="P37" s="495"/>
    </row>
    <row r="38" spans="1:16" s="510" customFormat="1" ht="47" customHeight="1" x14ac:dyDescent="0.3">
      <c r="A38" s="524"/>
      <c r="B38" s="511"/>
      <c r="C38" s="758"/>
      <c r="D38" s="508" t="s">
        <v>213</v>
      </c>
      <c r="E38" s="742" t="str">
        <f>IF(VLOOKUP(CONCATENATE($C$2,"-",$D38),Languages!$A:$D,1,TRUE)=CONCATENATE($C$2,"-",$D38),VLOOKUP(CONCATENATE($C$2,"-",$D38),Languages!$A:$D,Kybermittari!$C$7,TRUE),NA())</f>
        <v>Toimittajien ja muiden kolmansien osapuolten arviointi- ja valintaprosessissa sekä muissa hankintapäätöksissä huomioidaan käyttöiän ("end-of-life") ja käyttötuen ("end-of-support") loppumisen ajankohdat.</v>
      </c>
      <c r="F38" s="742"/>
      <c r="G38" s="742"/>
      <c r="H38" s="493">
        <f>IFERROR(INT(LEFT($I38,1)),0)</f>
        <v>0</v>
      </c>
      <c r="I38" s="54"/>
      <c r="J38" s="527"/>
      <c r="K38" s="509"/>
      <c r="L38" s="524"/>
      <c r="M38" s="545"/>
      <c r="N38" s="524"/>
      <c r="O38" s="495"/>
      <c r="P38" s="495"/>
    </row>
    <row r="39" spans="1:16" s="510" customFormat="1" ht="60" customHeight="1" x14ac:dyDescent="0.3">
      <c r="A39" s="524"/>
      <c r="B39" s="741"/>
      <c r="C39" s="758"/>
      <c r="D39" s="508" t="s">
        <v>215</v>
      </c>
      <c r="E39" s="742" t="str">
        <f>IF(VLOOKUP(CONCATENATE($C$2,"-",$D39),Languages!$A:$D,1,TRUE)=CONCATENATE($C$2,"-",$D39),VLOOKUP(CONCATENATE($C$2,"-",$D39),Languages!$A:$D,Kybermittari!$C$7,TRUE),NA())</f>
        <v>Toimittajien ja muiden kolmansien osapuolten arviointi- ja valintaprosessissa sekä muissa hankintapäätöksissä huomioidaan tarvittavat turvatoimet väärennettyjen tai turvallisuudeltaan vaarantuneiden ohjelmistojen, laitteiden tai palveluiden osalta.</v>
      </c>
      <c r="F39" s="742"/>
      <c r="G39" s="742"/>
      <c r="H39" s="493">
        <f>IFERROR(INT(LEFT($I39,1)),0)</f>
        <v>0</v>
      </c>
      <c r="I39" s="54"/>
      <c r="J39" s="527"/>
      <c r="K39" s="509"/>
      <c r="L39" s="524"/>
      <c r="M39" s="545"/>
      <c r="N39" s="524"/>
      <c r="O39" s="495"/>
      <c r="P39" s="495"/>
    </row>
    <row r="40" spans="1:16" s="510" customFormat="1" ht="47" customHeight="1" x14ac:dyDescent="0.3">
      <c r="A40" s="524"/>
      <c r="B40" s="741"/>
      <c r="C40" s="758"/>
      <c r="D40" s="508" t="s">
        <v>217</v>
      </c>
      <c r="E40" s="742" t="str">
        <f>IF(VLOOKUP(CONCATENATE($C$2,"-",$D40),Languages!$A:$D,1,TRUE)=CONCATENATE($C$2,"-",$D40),VLOOKUP(CONCATENATE($C$2,"-",$D40),Languages!$A:$D,Kybermittari!$C$7,TRUE),NA())</f>
        <v>Organisaatio monitoroi erinäisiä tietolähteitä tunnistaakseen ja välttääkseen toimitusketjuihin liittyviä riskejä (esim. väärennetyt tai turvallisuudeltaan vaarantuneet ohjelmistot, laitteet tai palvelut).</v>
      </c>
      <c r="F40" s="742"/>
      <c r="G40" s="742"/>
      <c r="H40" s="493">
        <f>IFERROR(INT(LEFT($I40,1)),0)</f>
        <v>0</v>
      </c>
      <c r="I40" s="54"/>
      <c r="J40" s="527"/>
      <c r="K40" s="509"/>
      <c r="L40" s="524"/>
      <c r="M40" s="545"/>
      <c r="N40" s="524"/>
      <c r="O40" s="495"/>
      <c r="P40" s="495"/>
    </row>
    <row r="41" spans="1:16" s="510" customFormat="1" ht="35" customHeight="1" x14ac:dyDescent="0.3">
      <c r="A41" s="524"/>
      <c r="B41" s="741"/>
      <c r="C41" s="759"/>
      <c r="D41" s="508" t="s">
        <v>311</v>
      </c>
      <c r="E41" s="742" t="str">
        <f>IF(VLOOKUP(CONCATENATE($C$2,"-",$D41),Languages!$A:$D,1,TRUE)=CONCATENATE($C$2,"-",$D41),VLOOKUP(CONCATENATE($C$2,"-",$D41),Languages!$A:$D,Kybermittari!$C$7,TRUE),NA())</f>
        <v>Hankittavien suojattavien kohteiden hyväksyntätestaukseen kuuluu testaus siitä, täyttävätkö kohteet organisaation kyberturvallisuusvaatimukset.</v>
      </c>
      <c r="F41" s="742"/>
      <c r="G41" s="742"/>
      <c r="H41" s="493">
        <f>IFERROR(INT(LEFT($I41,1)),0)</f>
        <v>0</v>
      </c>
      <c r="I41" s="54"/>
      <c r="J41" s="527"/>
      <c r="K41" s="509"/>
      <c r="L41" s="524"/>
      <c r="M41" s="545"/>
      <c r="N41" s="524"/>
      <c r="O41" s="495"/>
      <c r="P41" s="495"/>
    </row>
    <row r="42" spans="1:16" s="343" customFormat="1" ht="30" customHeight="1" x14ac:dyDescent="0.25">
      <c r="A42" s="332"/>
      <c r="B42" s="461"/>
      <c r="C42" s="336">
        <v>3</v>
      </c>
      <c r="D42" s="336" t="str">
        <f>IF(VLOOKUP(CONCATENATE($C$2,"-",C42),Languages!$A:$D,1,TRUE)=CONCATENATE($C$2,"-",C42),VLOOKUP(CONCATENATE($C$2,"-",C42),Languages!$A:$D,Kybermittari!$C$7,TRUE),NA())</f>
        <v>Yleisiä hallintatoimia</v>
      </c>
      <c r="E42" s="336"/>
      <c r="F42" s="506"/>
      <c r="G42" s="506"/>
      <c r="H42" s="506"/>
      <c r="I42" s="506" t="s">
        <v>19</v>
      </c>
      <c r="J42" s="507"/>
      <c r="K42" s="339"/>
      <c r="L42" s="347"/>
      <c r="M42" s="533"/>
      <c r="N42" s="347"/>
      <c r="O42" s="341"/>
      <c r="P42" s="341"/>
    </row>
    <row r="43" spans="1:16" s="475" customFormat="1" ht="47" customHeight="1" x14ac:dyDescent="0.3">
      <c r="A43" s="524"/>
      <c r="B43" s="525"/>
      <c r="C43" s="745" t="str">
        <f>IF(VLOOKUP(CONCATENATE($C$2,"-",$C42,"-0"),Languages!$A:$D,1,TRUE)=CONCATENATE($C$2,"-",$C42,"-0"),VLOOKUP(CONCATENATE($C$2,"-",$C42,"-0"),Languages!$A:$D,Kybermittari!$C$7,TRUE),NA())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43" s="745"/>
      <c r="E43" s="745"/>
      <c r="F43" s="745"/>
      <c r="G43" s="745"/>
      <c r="H43" s="745"/>
      <c r="I43" s="745"/>
      <c r="J43" s="745"/>
      <c r="K43" s="471"/>
      <c r="L43" s="524"/>
      <c r="M43" s="545"/>
      <c r="N43" s="524"/>
      <c r="O43" s="473"/>
      <c r="P43" s="473"/>
    </row>
    <row r="44" spans="1:16" s="547" customFormat="1" ht="20" customHeight="1" x14ac:dyDescent="0.3">
      <c r="A44" s="483"/>
      <c r="B44" s="476"/>
      <c r="C44" s="477" t="str">
        <f>IF(VLOOKUP("GEN-LEVEL",Languages!$A:$D,1,TRUE)="GEN-LEVEL",VLOOKUP("GEN-LEVEL",Languages!$A:$D,Kybermittari!$C$7,TRUE),NA())</f>
        <v>Taso</v>
      </c>
      <c r="D44" s="477"/>
      <c r="E44" s="478" t="str">
        <f>IF(VLOOKUP("GEN-PRACTICE",Languages!$A:$D,1,TRUE)="GEN-PRACTICE",VLOOKUP("GEN-PRACTICE",Languages!$A:$D,Kybermittari!$C$7,TRUE),NA())</f>
        <v>Käytäntö</v>
      </c>
      <c r="F44" s="479"/>
      <c r="G44" s="480"/>
      <c r="H44" s="481"/>
      <c r="I44" s="478" t="str">
        <f>IF(VLOOKUP("GEN-ANSWER",Languages!$A:$D,1,TRUE)="GEN-ANSWER",VLOOKUP("GEN-ANSWER",Languages!$A:$D,Kybermittari!$C$7,TRUE),NA())</f>
        <v>Vastaus</v>
      </c>
      <c r="J44" s="480" t="str">
        <f>IF(VLOOKUP("GEN-COMMENT",Languages!$A:$D,1,TRUE)="GEN-COMMENT",VLOOKUP("GEN-COMMENT",Languages!$A:$D,Kybermittari!$C$7,TRUE),NA())</f>
        <v>Kommentti ja viittaukset</v>
      </c>
      <c r="K44" s="482"/>
      <c r="L44" s="618"/>
      <c r="M44" s="545"/>
      <c r="N44" s="618"/>
      <c r="O44" s="546"/>
      <c r="P44" s="546"/>
    </row>
    <row r="45" spans="1:16" s="547" customFormat="1" ht="10" customHeight="1" x14ac:dyDescent="0.3">
      <c r="A45" s="483"/>
      <c r="B45" s="476"/>
      <c r="C45" s="477"/>
      <c r="D45" s="487"/>
      <c r="E45" s="488"/>
      <c r="F45" s="489"/>
      <c r="G45" s="490"/>
      <c r="H45" s="491"/>
      <c r="I45" s="488"/>
      <c r="J45" s="490"/>
      <c r="K45" s="482"/>
      <c r="L45" s="618"/>
      <c r="M45" s="545"/>
      <c r="N45" s="618"/>
      <c r="O45" s="546"/>
      <c r="P45" s="546"/>
    </row>
    <row r="46" spans="1:16" s="547" customFormat="1" ht="20" customHeight="1" x14ac:dyDescent="0.3">
      <c r="A46" s="483"/>
      <c r="B46" s="476"/>
      <c r="C46" s="557">
        <v>1</v>
      </c>
      <c r="D46" s="558"/>
      <c r="E46" s="559"/>
      <c r="F46" s="560"/>
      <c r="G46" s="561"/>
      <c r="H46" s="562"/>
      <c r="I46" s="559"/>
      <c r="J46" s="563"/>
      <c r="K46" s="482"/>
      <c r="L46" s="618"/>
      <c r="M46" s="545"/>
      <c r="N46" s="618"/>
      <c r="O46" s="546"/>
      <c r="P46" s="546"/>
    </row>
    <row r="47" spans="1:16" s="547" customFormat="1" ht="10" customHeight="1" x14ac:dyDescent="0.3">
      <c r="A47" s="483"/>
      <c r="B47" s="476"/>
      <c r="C47" s="477"/>
      <c r="D47" s="487"/>
      <c r="E47" s="488"/>
      <c r="F47" s="489"/>
      <c r="G47" s="490"/>
      <c r="H47" s="491"/>
      <c r="I47" s="488"/>
      <c r="J47" s="490"/>
      <c r="K47" s="482"/>
      <c r="L47" s="618"/>
      <c r="M47" s="545"/>
      <c r="N47" s="618"/>
      <c r="O47" s="546"/>
      <c r="P47" s="546"/>
    </row>
    <row r="48" spans="1:16" s="510" customFormat="1" ht="47" customHeight="1" x14ac:dyDescent="0.3">
      <c r="A48" s="524"/>
      <c r="B48" s="741"/>
      <c r="C48" s="760">
        <v>2</v>
      </c>
      <c r="D48" s="508" t="s">
        <v>25</v>
      </c>
      <c r="E48" s="742" t="str">
        <f>IF(VLOOKUP(CONCATENATE($C$2,"-",$D48),Languages!$A:$D,1,TRUE)=CONCATENATE($C$2,"-",$D48),VLOOKUP(CONCATENATE($C$2,"-",$D48),Languages!$A:$D,Kybermittari!$C$7,TRUE),NA())</f>
        <v>Toimitusketjun ja ulkoisten riippuvuuksien hallinnan (DEPENDENCIES) osioon liittyen on määritetty dokumentoidut käytännöt, joita noudatetaan ja pidetään yllä.</v>
      </c>
      <c r="F48" s="742"/>
      <c r="G48" s="742"/>
      <c r="H48" s="493">
        <f>IFERROR(INT(LEFT($I48,1)),0)</f>
        <v>0</v>
      </c>
      <c r="I48" s="54"/>
      <c r="J48" s="527"/>
      <c r="K48" s="509"/>
      <c r="L48" s="524"/>
      <c r="M48" s="545"/>
      <c r="N48" s="524"/>
      <c r="O48" s="495"/>
      <c r="P48" s="495"/>
    </row>
    <row r="49" spans="1:16" s="510" customFormat="1" ht="35" customHeight="1" x14ac:dyDescent="0.3">
      <c r="A49" s="524"/>
      <c r="B49" s="741"/>
      <c r="C49" s="760"/>
      <c r="D49" s="508" t="s">
        <v>26</v>
      </c>
      <c r="E49" s="742" t="str">
        <f>IF(VLOOKUP(CONCATENATE($C$2,"-",$D49),Languages!$A:$D,1,TRUE)=CONCATENATE($C$2,"-",$D49),VLOOKUP(CONCATENATE($C$2,"-",$D49),Languages!$A:$D,Kybermittari!$C$7,TRUE),NA())</f>
        <v>Toimitusketjun ja ulkoisten riippuvuuksien hallinnan (DEPENDENCIES) osion toimintaan on saatavilla riittävät resurssit (henkilöstö, rahoitus ja työkalut).</v>
      </c>
      <c r="F49" s="742"/>
      <c r="G49" s="742"/>
      <c r="H49" s="493">
        <f>IFERROR(INT(LEFT($I49,1)),0)</f>
        <v>0</v>
      </c>
      <c r="I49" s="54"/>
      <c r="J49" s="527"/>
      <c r="K49" s="509"/>
      <c r="L49" s="483"/>
      <c r="M49" s="545"/>
      <c r="N49" s="523"/>
      <c r="O49" s="495"/>
      <c r="P49" s="495"/>
    </row>
    <row r="50" spans="1:16" s="510" customFormat="1" ht="47" customHeight="1" x14ac:dyDescent="0.3">
      <c r="A50" s="524"/>
      <c r="B50" s="741"/>
      <c r="C50" s="760"/>
      <c r="D50" s="508" t="s">
        <v>27</v>
      </c>
      <c r="E50" s="742" t="str">
        <f>IF(VLOOKUP(CONCATENATE($C$2,"-",$D50),Languages!$A:$D,1,TRUE)=CONCATENATE($C$2,"-",$D50),VLOOKUP(CONCATENATE($C$2,"-",$D50),Languages!$A:$D,Kybermittari!$C$7,TRUE),NA())</f>
        <v>Toimitusketjun ja ulkoisten riippuvuuksien hallinnan (DEPENDENCIES) osion toimintaa suorittavilla työntekijöillä on riittävät tiedot ja taidot tehtäviensä suorittamiseen.</v>
      </c>
      <c r="F50" s="742"/>
      <c r="G50" s="742"/>
      <c r="H50" s="493">
        <f>IFERROR(INT(LEFT($I50,1)),0)</f>
        <v>0</v>
      </c>
      <c r="I50" s="54"/>
      <c r="J50" s="527"/>
      <c r="K50" s="509"/>
      <c r="L50" s="483"/>
      <c r="M50" s="545"/>
      <c r="N50" s="523"/>
      <c r="O50" s="495"/>
      <c r="P50" s="495"/>
    </row>
    <row r="51" spans="1:16" s="510" customFormat="1" ht="47" customHeight="1" x14ac:dyDescent="0.3">
      <c r="A51" s="524"/>
      <c r="B51" s="741"/>
      <c r="C51" s="760"/>
      <c r="D51" s="508" t="s">
        <v>28</v>
      </c>
      <c r="E51" s="742" t="str">
        <f>IF(VLOOKUP(CONCATENATE($C$2,"-",$D51),Languages!$A:$D,1,TRUE)=CONCATENATE($C$2,"-",$D51),VLOOKUP(CONCATENATE($C$2,"-",$D51),Languages!$A:$D,Kybermittari!$C$7,TRUE),NA())</f>
        <v>Toimitusketjun ja ulkoisten riippuvuuksien hallinnan (DEPENDENCIES) osion toiminnan suorittamiseen liittyvät vastuut ja valtuudet on osoitettu nimetyille työntekijöille.</v>
      </c>
      <c r="F51" s="742"/>
      <c r="G51" s="742"/>
      <c r="H51" s="493">
        <f>IFERROR(INT(LEFT($I51,1)),0)</f>
        <v>0</v>
      </c>
      <c r="I51" s="54"/>
      <c r="J51" s="527"/>
      <c r="K51" s="509"/>
      <c r="L51" s="483"/>
      <c r="M51" s="545"/>
      <c r="N51" s="523"/>
      <c r="O51" s="495"/>
      <c r="P51" s="495"/>
    </row>
    <row r="52" spans="1:16" s="510" customFormat="1" ht="10" customHeight="1" x14ac:dyDescent="0.3">
      <c r="A52" s="524"/>
      <c r="B52" s="511"/>
      <c r="C52" s="565"/>
      <c r="D52" s="513"/>
      <c r="E52" s="501"/>
      <c r="F52" s="501"/>
      <c r="G52" s="501"/>
      <c r="H52" s="499"/>
      <c r="I52" s="502"/>
      <c r="J52" s="514"/>
      <c r="K52" s="509"/>
      <c r="L52" s="483"/>
      <c r="M52" s="545"/>
      <c r="N52" s="523"/>
      <c r="O52" s="495"/>
      <c r="P52" s="495"/>
    </row>
    <row r="53" spans="1:16" s="510" customFormat="1" ht="60" customHeight="1" x14ac:dyDescent="0.3">
      <c r="A53" s="524"/>
      <c r="B53" s="741"/>
      <c r="C53" s="760">
        <v>3</v>
      </c>
      <c r="D53" s="508" t="s">
        <v>29</v>
      </c>
      <c r="E53" s="742" t="str">
        <f>IF(VLOOKUP(CONCATENATE($C$2,"-",$D53),Languages!$A:$D,1,TRUE)=CONCATENATE($C$2,"-",$D53),VLOOKUP(CONCATENATE($C$2,"-",$D53),Languages!$A:$D,Kybermittari!$C$7,TRUE),NA())</f>
        <v>Toimitusketjun ja ulkoisten riippuvuuksien hallinnan (DEPENDENCIES) osion toiminta perustuu organisaation määrittämään ja ylläpitämään johtotason politiikkaan (tai vastaavaan ohjeistukseen), jossa asetetaan nimenomaisia vaatimuksia tämän osion toiminnalle.</v>
      </c>
      <c r="F53" s="742"/>
      <c r="G53" s="742"/>
      <c r="H53" s="493">
        <f>IFERROR(INT(LEFT($I53,1)),0)</f>
        <v>0</v>
      </c>
      <c r="I53" s="54"/>
      <c r="J53" s="527"/>
      <c r="K53" s="509"/>
      <c r="L53" s="483"/>
      <c r="M53" s="545"/>
      <c r="N53" s="523"/>
      <c r="O53" s="495"/>
      <c r="P53" s="495"/>
    </row>
    <row r="54" spans="1:16" s="510" customFormat="1" ht="47" customHeight="1" x14ac:dyDescent="0.3">
      <c r="A54" s="524"/>
      <c r="B54" s="741"/>
      <c r="C54" s="760"/>
      <c r="D54" s="508" t="s">
        <v>30</v>
      </c>
      <c r="E54" s="742" t="str">
        <f>IF(VLOOKUP(CONCATENATE($C$2,"-",$D54),Languages!$A:$D,1,TRUE)=CONCATENATE($C$2,"-",$D54),VLOOKUP(CONCATENATE($C$2,"-",$D54),Languages!$A:$D,Kybermittari!$C$7,TRUE),NA())</f>
        <v>Toimitusketjun ja ulkoisten riippuvuuksien hallinnan (DEPENDENCIES) osion toiminnalle on määritetty suoriutumistavoitteet, joiden toteutumista seurataan [kts. PROGRAM-1b].</v>
      </c>
      <c r="F54" s="742"/>
      <c r="G54" s="742"/>
      <c r="H54" s="493">
        <f>IFERROR(INT(LEFT($I54,1)),0)</f>
        <v>0</v>
      </c>
      <c r="I54" s="54"/>
      <c r="J54" s="527"/>
      <c r="K54" s="509"/>
      <c r="L54" s="524"/>
      <c r="M54" s="545"/>
      <c r="N54" s="524"/>
      <c r="O54" s="495"/>
      <c r="P54" s="495"/>
    </row>
    <row r="55" spans="1:16" s="510" customFormat="1" ht="47" customHeight="1" x14ac:dyDescent="0.3">
      <c r="A55" s="524"/>
      <c r="B55" s="741"/>
      <c r="C55" s="760"/>
      <c r="D55" s="508" t="s">
        <v>31</v>
      </c>
      <c r="E55" s="742" t="str">
        <f>IF(VLOOKUP(CONCATENATE($C$2,"-",$D55),Languages!$A:$D,1,TRUE)=CONCATENATE($C$2,"-",$D55),VLOOKUP(CONCATENATE($C$2,"-",$D55),Languages!$A:$D,Kybermittari!$C$7,TRUE),NA())</f>
        <v>Toimitusketjun ja ulkoisten riippuvuuksien hallinnan (DEPENDENCIES) osioon liittyvät käytännöt on standardoitu läpi koko organisaation ja niitä kehitetään aktiivisesti.</v>
      </c>
      <c r="F55" s="742"/>
      <c r="G55" s="742"/>
      <c r="H55" s="493">
        <f>IFERROR(INT(LEFT($I55,1)),0)</f>
        <v>0</v>
      </c>
      <c r="I55" s="54"/>
      <c r="J55" s="527"/>
      <c r="K55" s="509"/>
      <c r="L55" s="524"/>
      <c r="M55" s="545"/>
      <c r="N55" s="524"/>
      <c r="O55" s="495"/>
      <c r="P55" s="495"/>
    </row>
    <row r="56" spans="1:16" x14ac:dyDescent="0.25">
      <c r="A56" s="347"/>
      <c r="B56" s="619"/>
      <c r="C56" s="620"/>
      <c r="D56" s="621"/>
      <c r="E56" s="622"/>
      <c r="F56" s="622"/>
      <c r="G56" s="622"/>
      <c r="H56" s="623"/>
      <c r="I56" s="624"/>
      <c r="J56" s="625"/>
      <c r="K56" s="626"/>
      <c r="L56" s="347"/>
      <c r="M56" s="533"/>
      <c r="N56" s="347"/>
    </row>
    <row r="57" spans="1:16" x14ac:dyDescent="0.25">
      <c r="A57" s="347"/>
      <c r="B57" s="347"/>
      <c r="C57" s="347"/>
      <c r="D57" s="347"/>
      <c r="E57" s="347"/>
      <c r="F57" s="347"/>
      <c r="G57" s="347"/>
      <c r="H57" s="627"/>
      <c r="I57" s="347"/>
      <c r="J57" s="347"/>
      <c r="K57" s="347"/>
      <c r="L57" s="347"/>
      <c r="M57" s="533"/>
      <c r="N57" s="347"/>
    </row>
    <row r="58" spans="1:16" x14ac:dyDescent="0.25">
      <c r="M58" s="630"/>
    </row>
    <row r="59" spans="1:16" x14ac:dyDescent="0.25">
      <c r="M59" s="630"/>
    </row>
    <row r="60" spans="1:16" x14ac:dyDescent="0.25">
      <c r="M60" s="630"/>
    </row>
    <row r="61" spans="1:16" x14ac:dyDescent="0.25">
      <c r="M61" s="630"/>
    </row>
    <row r="62" spans="1:16" x14ac:dyDescent="0.25">
      <c r="M62" s="630"/>
    </row>
    <row r="63" spans="1:16" x14ac:dyDescent="0.25">
      <c r="M63" s="630"/>
    </row>
  </sheetData>
  <sheetProtection sheet="1" objects="1" scenarios="1"/>
  <mergeCells count="45">
    <mergeCell ref="B48:B51"/>
    <mergeCell ref="C48:C51"/>
    <mergeCell ref="C5:J5"/>
    <mergeCell ref="E32:G32"/>
    <mergeCell ref="E33:G33"/>
    <mergeCell ref="E34:G34"/>
    <mergeCell ref="E21:G21"/>
    <mergeCell ref="C10:J10"/>
    <mergeCell ref="E48:G48"/>
    <mergeCell ref="E49:G49"/>
    <mergeCell ref="E50:G50"/>
    <mergeCell ref="E51:G51"/>
    <mergeCell ref="C23:J23"/>
    <mergeCell ref="E35:G35"/>
    <mergeCell ref="E37:G37"/>
    <mergeCell ref="C43:J43"/>
    <mergeCell ref="B53:B55"/>
    <mergeCell ref="C53:C55"/>
    <mergeCell ref="E53:G53"/>
    <mergeCell ref="E54:G54"/>
    <mergeCell ref="E55:G55"/>
    <mergeCell ref="B26:B27"/>
    <mergeCell ref="C26:C27"/>
    <mergeCell ref="E26:G26"/>
    <mergeCell ref="E27:G27"/>
    <mergeCell ref="B39:B41"/>
    <mergeCell ref="E39:G39"/>
    <mergeCell ref="E40:G40"/>
    <mergeCell ref="E41:G41"/>
    <mergeCell ref="E38:G38"/>
    <mergeCell ref="C29:C35"/>
    <mergeCell ref="C37:C41"/>
    <mergeCell ref="E29:G29"/>
    <mergeCell ref="E30:G30"/>
    <mergeCell ref="E31:G31"/>
    <mergeCell ref="B13:B14"/>
    <mergeCell ref="C13:C14"/>
    <mergeCell ref="E13:G13"/>
    <mergeCell ref="E14:G14"/>
    <mergeCell ref="B16:B19"/>
    <mergeCell ref="C16:C19"/>
    <mergeCell ref="E16:G16"/>
    <mergeCell ref="E17:G17"/>
    <mergeCell ref="E18:G18"/>
    <mergeCell ref="E19:G19"/>
  </mergeCells>
  <conditionalFormatting sqref="H1:H1048576">
    <cfRule type="containsText" dxfId="62" priority="5"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3085B42A-23B5-4DDA-80A7-EFE3C26BDEF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I13:I14 I16:I19 I21 I26:I27 I29:I35 I37:I41 I53:I55 I48:I51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79998168889431442"/>
  </sheetPr>
  <dimension ref="A1:P74"/>
  <sheetViews>
    <sheetView showGridLines="0" zoomScaleNormal="100" workbookViewId="0">
      <selection activeCell="I15" sqref="I15"/>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351" customWidth="1"/>
    <col min="8" max="8" width="2.640625" style="390" customWidth="1"/>
    <col min="9" max="9" width="14.640625" style="351" customWidth="1"/>
    <col min="10" max="10" width="45.640625" style="34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344"/>
      <c r="H1" s="632"/>
      <c r="I1" s="344"/>
      <c r="J1" s="344"/>
      <c r="K1" s="344"/>
      <c r="L1" s="344"/>
      <c r="M1" s="588"/>
      <c r="N1" s="344"/>
    </row>
    <row r="2" spans="1:16" s="343" customFormat="1" ht="25" customHeight="1" x14ac:dyDescent="0.25">
      <c r="A2" s="332"/>
      <c r="B2" s="589"/>
      <c r="C2" s="590" t="s">
        <v>51</v>
      </c>
      <c r="D2" s="591"/>
      <c r="E2" s="592"/>
      <c r="F2" s="592"/>
      <c r="G2" s="592"/>
      <c r="H2" s="593"/>
      <c r="I2" s="592"/>
      <c r="J2" s="594"/>
      <c r="K2" s="595"/>
      <c r="L2" s="332"/>
      <c r="M2" s="533"/>
      <c r="N2" s="332"/>
      <c r="O2" s="341"/>
      <c r="P2" s="341"/>
    </row>
    <row r="3" spans="1:16" ht="25" customHeight="1" x14ac:dyDescent="0.35">
      <c r="A3" s="344"/>
      <c r="B3" s="532"/>
      <c r="C3" s="321" t="str">
        <f>IF(VLOOKUP($C$2,Languages!$A:$D,1,TRUE)=$C$2,VLOOKUP($C$2,Languages!$A:$D,Kybermittari!$C$7,TRUE),NA())</f>
        <v>Omaisuuden, muutoksen ja konfiguraation hallinta</v>
      </c>
      <c r="D3" s="609"/>
      <c r="E3" s="605"/>
      <c r="H3" s="452"/>
      <c r="J3" s="375"/>
      <c r="K3" s="356"/>
      <c r="L3" s="344"/>
      <c r="M3" s="533"/>
      <c r="N3" s="344"/>
    </row>
    <row r="4" spans="1:16" ht="10" customHeight="1" x14ac:dyDescent="0.25">
      <c r="A4" s="344"/>
      <c r="B4" s="532"/>
      <c r="C4" s="605"/>
      <c r="D4" s="606"/>
      <c r="E4" s="606"/>
      <c r="F4" s="606"/>
      <c r="G4" s="606"/>
      <c r="H4" s="452"/>
      <c r="I4" s="452"/>
      <c r="J4" s="375"/>
      <c r="K4" s="356"/>
      <c r="L4" s="344"/>
      <c r="M4" s="533"/>
      <c r="N4" s="344"/>
    </row>
    <row r="5" spans="1:16" ht="60" customHeight="1" x14ac:dyDescent="0.25">
      <c r="A5" s="344"/>
      <c r="B5" s="532"/>
      <c r="C5" s="750" t="str">
        <f>IF(VLOOKUP(CONCATENATE(C2,"-0"),Languages!$A:$D,1,TRUE)=CONCATENATE(C2,"-0"),VLOOKUP(CONCATENATE(C2,"-0"),Languages!$A:$D,Kybermittari!$C$7,TRUE),NA())</f>
        <v>Omaisuuden, muutoksen ja konfiguraation hallinnan osiossa arvioidaan organisaation kykyä hallita toiminnan osa-alueen toimintavarmuuden kannalta tärkeää omaisuutta ja tähän omaisuuteen liittyviä muutoksia ja konfiguraatioita. Omaisuudella tarkoitetaan organisaation IT- ja OT-omaisuutta (mkl. laitteet ja ohjelmistot) sekä tietovarantoja. Organisaation tulee hallinnoida tätä omaisuutta suhteessa sekä omaisuuteen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IT- ja OT-omaisuuden rekisterin hallinta</v>
      </c>
      <c r="F6" s="607"/>
      <c r="G6" s="386"/>
      <c r="H6" s="633"/>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Tietovarantojen rekisterin hallinta</v>
      </c>
      <c r="F7" s="607"/>
      <c r="G7" s="386"/>
      <c r="H7" s="634"/>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Suojattavan omaisuuden konfiguraation hallinta</v>
      </c>
      <c r="F8" s="607"/>
      <c r="G8" s="386"/>
      <c r="H8" s="362"/>
      <c r="I8" s="459" t="str">
        <f ca="1">VLOOKUP(VLOOKUP(CONCATENATE($C$2,"-",$C8),Data!$K:$O,5,FALSE),Parameters!$C$7:$F$10,Kybermittari!$C$7,FALSE)</f>
        <v>Kypsyystaso 0</v>
      </c>
      <c r="J8" s="719"/>
      <c r="K8" s="356"/>
      <c r="L8" s="344"/>
      <c r="M8" s="533"/>
      <c r="N8" s="344"/>
    </row>
    <row r="9" spans="1:16" ht="14.5" x14ac:dyDescent="0.25">
      <c r="A9" s="344"/>
      <c r="B9" s="532"/>
      <c r="C9" s="456">
        <v>4</v>
      </c>
      <c r="D9" s="457" t="s">
        <v>2</v>
      </c>
      <c r="E9" s="458" t="str">
        <f>IF(VLOOKUP(CONCATENATE($C$2,"-",C9),Languages!$A:$D,1,TRUE)=CONCATENATE($C$2,"-",C9),VLOOKUP(CONCATENATE($C$2,"-",C9),Languages!$A:$D,Kybermittari!$C$7,TRUE),NA())</f>
        <v>Suojattavien kohteiden muutoksenhallinta</v>
      </c>
      <c r="F9" s="607"/>
      <c r="G9" s="386"/>
      <c r="H9" s="633"/>
      <c r="I9" s="459" t="str">
        <f ca="1">VLOOKUP(VLOOKUP(CONCATENATE($C$2,"-",$C9),Data!$K:$O,5,FALSE),Parameters!$C$7:$F$10,Kybermittari!$C$7,FALSE)</f>
        <v>Kypsyystaso 0</v>
      </c>
      <c r="J9" s="611"/>
      <c r="K9" s="356"/>
      <c r="L9" s="344"/>
      <c r="M9" s="533"/>
      <c r="N9" s="344"/>
    </row>
    <row r="10" spans="1:16" ht="14.5" x14ac:dyDescent="0.25">
      <c r="A10" s="344"/>
      <c r="B10" s="532"/>
      <c r="C10" s="456">
        <v>5</v>
      </c>
      <c r="D10" s="457" t="s">
        <v>2</v>
      </c>
      <c r="E10" s="458" t="str">
        <f>IF(VLOOKUP(CONCATENATE($C$2,"-",C10),Languages!$A:$D,1,TRUE)=CONCATENATE($C$2,"-",C10),VLOOKUP(CONCATENATE($C$2,"-",C10),Languages!$A:$D,Kybermittari!$C$7,TRUE),NA())</f>
        <v>Yleisiä hallintatoimia</v>
      </c>
      <c r="F10" s="607"/>
      <c r="G10" s="386"/>
      <c r="H10" s="633"/>
      <c r="I10" s="459" t="str">
        <f ca="1">VLOOKUP(VLOOKUP(CONCATENATE($C$2,"-",$C10),Data!$K:$O,5,FALSE),Parameters!$C$7:$F$10,Kybermittari!$C$7,FALSE)</f>
        <v>Kypsyystaso 1</v>
      </c>
      <c r="J10" s="611"/>
      <c r="K10" s="356"/>
      <c r="L10" s="467"/>
      <c r="M10" s="533"/>
      <c r="N10" s="332"/>
    </row>
    <row r="11" spans="1:16" s="343" customFormat="1" ht="30" customHeight="1" x14ac:dyDescent="0.25">
      <c r="A11" s="332"/>
      <c r="B11" s="461"/>
      <c r="C11" s="336">
        <v>1</v>
      </c>
      <c r="D11" s="336" t="str">
        <f>IF(VLOOKUP(CONCATENATE($C$2,"-",C11),Languages!$A:$D,1,TRUE)=CONCATENATE($C$2,"-",C11),VLOOKUP(CONCATENATE($C$2,"-",C11),Languages!$A:$D,Kybermittari!$C$7,TRUE),NA())</f>
        <v>IT- ja OT-omaisuuden rekisterin hallinta</v>
      </c>
      <c r="E11" s="336"/>
      <c r="F11" s="463"/>
      <c r="G11" s="463"/>
      <c r="H11" s="464"/>
      <c r="I11" s="464"/>
      <c r="J11" s="465"/>
      <c r="K11" s="466"/>
      <c r="L11" s="344"/>
      <c r="M11" s="533"/>
      <c r="N11" s="344"/>
      <c r="O11" s="341"/>
      <c r="P11" s="341"/>
    </row>
    <row r="12" spans="1:16" s="475" customFormat="1" ht="60" customHeight="1" x14ac:dyDescent="0.3">
      <c r="A12" s="469"/>
      <c r="B12" s="470"/>
      <c r="C12" s="745" t="str">
        <f>IF(VLOOKUP(CONCATENATE($C$2,"-",$C11,"-0"),Languages!$A:$D,1,TRUE)=CONCATENATE($C$2,"-",$C11,"-0"),VLOOKUP(CONCATENATE($C$2,"-",$C11,"-0"),Languages!$A:$D,Kybermittari!$C$7,TRUE),NA())</f>
        <v>Rekisteri toiminnan osa-alueen toimintavarmuuden kannalta tärkeästä IT- ja OT-omaisuudesta on tärkeä osa kyberriskienhallintaa. Tärkeiden tietojen (kuten ohjelmistojen versionumerojen, fyysisen sijainnin, kohteen omistajan ja kriittisyyden) rekisteröinti on edellytys monille muille kyberturvallisuuden hallintatoimille. Rekisteriin kirjatut tiedot voivat esimerkiksi kertoa mihin päivitystä tarvitseva ohjelmisto on asennettu tai onko organisaatiolla käytössään haavoittuvuuden kohteeksi joutunutta laitetta tai ohjelmistoa.</v>
      </c>
      <c r="D12" s="745"/>
      <c r="E12" s="745"/>
      <c r="F12" s="745"/>
      <c r="G12" s="745"/>
      <c r="H12" s="745"/>
      <c r="I12" s="745"/>
      <c r="J12" s="745"/>
      <c r="K12" s="471"/>
      <c r="L12" s="483"/>
      <c r="M12" s="545"/>
      <c r="N12" s="483"/>
      <c r="O12" s="473"/>
      <c r="P12" s="473"/>
    </row>
    <row r="13" spans="1:16" s="486" customFormat="1" ht="20" customHeight="1" x14ac:dyDescent="0.3">
      <c r="A13" s="523"/>
      <c r="B13" s="476"/>
      <c r="C13" s="477" t="str">
        <f>IF(VLOOKUP("GEN-LEVEL",Languages!$A:$D,1,TRUE)="GEN-LEVEL",VLOOKUP("GEN-LEVEL",Languages!$A:$D,Kybermittari!$C$7,TRUE),NA())</f>
        <v>Taso</v>
      </c>
      <c r="D13" s="477"/>
      <c r="E13" s="478" t="str">
        <f>IF(VLOOKUP("GEN-PRACTICE",Languages!$A:$D,1,TRUE)="GEN-PRACTICE",VLOOKUP("GEN-PRACTICE",Languages!$A:$D,Kybermittari!$C$7,TRUE),NA())</f>
        <v>Käytäntö</v>
      </c>
      <c r="F13" s="479"/>
      <c r="G13" s="480"/>
      <c r="H13" s="481"/>
      <c r="I13" s="478" t="str">
        <f>IF(VLOOKUP("GEN-ANSWER",Languages!$A:$D,1,TRUE)="GEN-ANSWER",VLOOKUP("GEN-ANSWER",Languages!$A:$D,Kybermittari!$C$7,TRUE),NA())</f>
        <v>Vastaus</v>
      </c>
      <c r="J13" s="480" t="str">
        <f>IF(VLOOKUP("GEN-COMMENT",Languages!$A:$D,1,TRUE)="GEN-COMMENT",VLOOKUP("GEN-COMMENT",Languages!$A:$D,Kybermittari!$C$7,TRUE),NA())</f>
        <v>Kommentti ja viittaukset</v>
      </c>
      <c r="K13" s="482"/>
      <c r="L13" s="483"/>
      <c r="M13" s="545"/>
      <c r="N13" s="483"/>
      <c r="O13" s="484"/>
      <c r="P13" s="484"/>
    </row>
    <row r="14" spans="1:16" s="486" customFormat="1" ht="10" customHeight="1" x14ac:dyDescent="0.3">
      <c r="A14" s="523"/>
      <c r="B14" s="476"/>
      <c r="C14" s="487"/>
      <c r="D14" s="487"/>
      <c r="E14" s="488"/>
      <c r="F14" s="489"/>
      <c r="G14" s="490"/>
      <c r="H14" s="491"/>
      <c r="I14" s="488"/>
      <c r="J14" s="490"/>
      <c r="K14" s="482"/>
      <c r="L14" s="483"/>
      <c r="M14" s="545"/>
      <c r="N14" s="483"/>
      <c r="O14" s="484"/>
      <c r="P14" s="484"/>
    </row>
    <row r="15" spans="1:16" s="495" customFormat="1" ht="44.5" customHeight="1" x14ac:dyDescent="0.3">
      <c r="A15" s="469"/>
      <c r="B15" s="749"/>
      <c r="C15" s="722">
        <v>1</v>
      </c>
      <c r="D15" s="492" t="s">
        <v>7</v>
      </c>
      <c r="E15" s="742" t="str">
        <f>IF(VLOOKUP(CONCATENATE($C$2,"-",$D15),Languages!$A:$D,1,TRUE)=CONCATENATE($C$2,"-",$D15),VLOOKUP(CONCATENATE($C$2,"-",$D15),Languages!$A:$D,Kybermittari!$C$7,TRUE),NA())</f>
        <v>Organisaatiolla on rekisteri toiminnan osa-alueen toimintavarmuuden kannalta tärkeästä IT- ja OT-omaisuudesta - vaikka rekisterin ylläpito ei välttämättä ole systemaattista tai kaikenkattavaa.</v>
      </c>
      <c r="F15" s="742"/>
      <c r="G15" s="742"/>
      <c r="H15" s="493">
        <f t="shared" ref="H15" si="0">IFERROR(INT(LEFT($I15,1)),0)</f>
        <v>0</v>
      </c>
      <c r="I15" s="54"/>
      <c r="J15" s="526"/>
      <c r="K15" s="494"/>
      <c r="L15" s="469"/>
      <c r="M15" s="545"/>
      <c r="N15" s="469"/>
    </row>
    <row r="16" spans="1:16" s="495" customFormat="1" ht="10" customHeight="1" x14ac:dyDescent="0.3">
      <c r="A16" s="469"/>
      <c r="B16" s="749"/>
      <c r="C16" s="498"/>
      <c r="D16" s="499"/>
      <c r="E16" s="501"/>
      <c r="F16" s="501"/>
      <c r="G16" s="501"/>
      <c r="H16" s="499"/>
      <c r="I16" s="502"/>
      <c r="J16" s="502"/>
      <c r="K16" s="494"/>
      <c r="L16" s="469"/>
      <c r="M16" s="545"/>
      <c r="N16" s="469"/>
    </row>
    <row r="17" spans="1:16" s="495" customFormat="1" ht="105" customHeight="1" x14ac:dyDescent="0.3">
      <c r="A17" s="469"/>
      <c r="B17" s="749"/>
      <c r="C17" s="761">
        <v>2</v>
      </c>
      <c r="D17" s="492" t="s">
        <v>9</v>
      </c>
      <c r="E17" s="742" t="str">
        <f>IF(VLOOKUP(CONCATENATE($C$2,"-",$D17),Languages!$A:$D,1,TRUE)=CONCATENATE($C$2,"-",$D17),VLOOKUP(CONCATENATE($C$2,"-",$D17),Languages!$A:$D,Kybermittari!$C$7,TRUE),NA())</f>
        <v>Omaisuusrekisteriin kirjataan tiedot, joita organisaatio tarvitsee kyberturvallisuuteen liittyvien toimintojen hoitamiseen ja organisaation kyberturvallisuusstrategian tueksi [kts. PROGRAM-1a]. (Tällaisia tietoja ovat esimerkiksi sijaintipaikat, suojattavien kohteiden omistajuudet, turvallisuusvaatimukset, riippuvuudet, palvelutasot, elinkaaren ja tuen saatavuuden tiedot sekä vaatimustenmukaisuus relevantien toimiala-standardien kanssa).</v>
      </c>
      <c r="F17" s="742"/>
      <c r="G17" s="742"/>
      <c r="H17" s="493">
        <f>IFERROR(INT(LEFT($I17,1)),0)</f>
        <v>0</v>
      </c>
      <c r="I17" s="54"/>
      <c r="J17" s="526"/>
      <c r="K17" s="494"/>
      <c r="L17" s="469"/>
      <c r="M17" s="545"/>
      <c r="N17" s="469"/>
    </row>
    <row r="18" spans="1:16" s="495" customFormat="1" ht="30.5" customHeight="1" x14ac:dyDescent="0.3">
      <c r="A18" s="469"/>
      <c r="B18" s="749"/>
      <c r="C18" s="761"/>
      <c r="D18" s="492" t="s">
        <v>10</v>
      </c>
      <c r="E18" s="742" t="str">
        <f>IF(VLOOKUP(CONCATENATE($C$2,"-",$D18),Languages!$A:$D,1,TRUE)=CONCATENATE($C$2,"-",$D18),VLOOKUP(CONCATENATE($C$2,"-",$D18),Languages!$A:$D,Kybermittari!$C$7,TRUE),NA())</f>
        <v>Organisaatio priorisoi rekisteröidyn omaisuuden käyttäen virallisia ja dokumentoituja priorisointikriteerejä.</v>
      </c>
      <c r="F18" s="742"/>
      <c r="G18" s="742"/>
      <c r="H18" s="493">
        <f>IFERROR(INT(LEFT($I18,1)),0)</f>
        <v>0</v>
      </c>
      <c r="I18" s="54"/>
      <c r="J18" s="526"/>
      <c r="K18" s="494"/>
      <c r="L18" s="549"/>
      <c r="M18" s="545"/>
      <c r="N18" s="549"/>
    </row>
    <row r="19" spans="1:16" s="495" customFormat="1" ht="10" customHeight="1" x14ac:dyDescent="0.3">
      <c r="A19" s="469"/>
      <c r="B19" s="749"/>
      <c r="C19" s="498"/>
      <c r="D19" s="499"/>
      <c r="E19" s="501"/>
      <c r="F19" s="501"/>
      <c r="G19" s="501"/>
      <c r="H19" s="499"/>
      <c r="I19" s="502"/>
      <c r="J19" s="502"/>
      <c r="K19" s="494"/>
      <c r="L19" s="549"/>
      <c r="M19" s="545"/>
      <c r="N19" s="549"/>
    </row>
    <row r="20" spans="1:16" s="495" customFormat="1" ht="35" customHeight="1" x14ac:dyDescent="0.3">
      <c r="A20" s="469"/>
      <c r="B20" s="749"/>
      <c r="C20" s="751">
        <v>3</v>
      </c>
      <c r="D20" s="492" t="s">
        <v>11</v>
      </c>
      <c r="E20" s="748" t="str">
        <f>IF(VLOOKUP(CONCATENATE($C$2,"-",$D20),Languages!$A:$D,1,TRUE)=CONCATENATE($C$2,"-",$D20),VLOOKUP(CONCATENATE($C$2,"-",$D20),Languages!$A:$D,Kybermittari!$C$7,TRUE),NA())</f>
        <v>Organisaatiolla on omaisuusrekisteri kaikesta toiminnan osa-alueen toimintavarmuuden kannalta tärkeästä IT- ja OT-omaisuudesta.</v>
      </c>
      <c r="F20" s="748"/>
      <c r="G20" s="748"/>
      <c r="H20" s="493">
        <f>IFERROR(INT(LEFT($I20,1)),0)</f>
        <v>0</v>
      </c>
      <c r="I20" s="54"/>
      <c r="J20" s="526"/>
      <c r="K20" s="494"/>
      <c r="L20" s="469"/>
      <c r="M20" s="545"/>
      <c r="N20" s="469"/>
    </row>
    <row r="21" spans="1:16" s="495" customFormat="1" ht="35" customHeight="1" x14ac:dyDescent="0.3">
      <c r="A21" s="469"/>
      <c r="B21" s="749"/>
      <c r="C21" s="752"/>
      <c r="D21" s="503" t="s">
        <v>12</v>
      </c>
      <c r="E21" s="748" t="str">
        <f>IF(VLOOKUP(CONCATENATE($C$2,"-",$D21),Languages!$A:$D,1,TRUE)=CONCATENATE($C$2,"-",$D21),VLOOKUP(CONCATENATE($C$2,"-",$D21),Languages!$A:$D,Kybermittari!$C$7,TRUE),NA())</f>
        <v>Omaisuusrekisteri on ajan tasalla (organisaation määrittämien kriteerin mukaisesti).</v>
      </c>
      <c r="F21" s="748"/>
      <c r="G21" s="748"/>
      <c r="H21" s="493">
        <f>IFERROR(INT(LEFT($I21,1)),0)</f>
        <v>0</v>
      </c>
      <c r="I21" s="54"/>
      <c r="J21" s="527"/>
      <c r="K21" s="504"/>
      <c r="L21" s="469"/>
      <c r="M21" s="545"/>
      <c r="N21" s="469"/>
    </row>
    <row r="22" spans="1:16" s="495" customFormat="1" ht="48" customHeight="1" x14ac:dyDescent="0.3">
      <c r="A22" s="469"/>
      <c r="B22" s="749"/>
      <c r="C22" s="753"/>
      <c r="D22" s="503" t="s">
        <v>13</v>
      </c>
      <c r="E22" s="748" t="str">
        <f>IF(VLOOKUP(CONCATENATE($C$2,"-",$D22),Languages!$A:$D,1,TRUE)=CONCATENATE($C$2,"-",$D22),VLOOKUP(CONCATENATE($C$2,"-",$D22),Languages!$A:$D,Kybermittari!$C$7,TRUE),NA())</f>
        <v>Omaisuusrekisteriä hyödynnetään kyberriskien tunnistamisessa (esim. elinkaaren ja tuen saatavuuden päättyminen; yksittäiset pisteet, joiden toimintahäiriö voi keskeyttäisi koko palvelun ("single point of failure")).</v>
      </c>
      <c r="F22" s="748"/>
      <c r="G22" s="748"/>
      <c r="H22" s="493">
        <f>IFERROR(INT(LEFT($I22,1)),0)</f>
        <v>0</v>
      </c>
      <c r="I22" s="54"/>
      <c r="J22" s="527"/>
      <c r="K22" s="504"/>
      <c r="L22" s="524"/>
      <c r="M22" s="545"/>
      <c r="N22" s="524"/>
    </row>
    <row r="23" spans="1:16" s="343" customFormat="1" ht="30" customHeight="1" x14ac:dyDescent="0.25">
      <c r="A23" s="332"/>
      <c r="B23" s="461"/>
      <c r="C23" s="336">
        <v>2</v>
      </c>
      <c r="D23" s="336" t="str">
        <f>IF(VLOOKUP(CONCATENATE($C$2,"-",C23),Languages!$A:$D,1,TRUE)=CONCATENATE($C$2,"-",C23),VLOOKUP(CONCATENATE($C$2,"-",C23),Languages!$A:$D,Kybermittari!$C$7,TRUE),NA())</f>
        <v>Tietovarantojen rekisterin hallinta</v>
      </c>
      <c r="E23" s="336"/>
      <c r="F23" s="506"/>
      <c r="G23" s="506"/>
      <c r="H23" s="507"/>
      <c r="I23" s="506" t="s">
        <v>19</v>
      </c>
      <c r="J23" s="507"/>
      <c r="K23" s="339"/>
      <c r="L23" s="347"/>
      <c r="M23" s="533"/>
      <c r="N23" s="347"/>
      <c r="O23" s="341"/>
      <c r="P23" s="341"/>
    </row>
    <row r="24" spans="1:16" s="475" customFormat="1" ht="64" customHeight="1" x14ac:dyDescent="0.3">
      <c r="A24" s="469"/>
      <c r="B24" s="470"/>
      <c r="C24" s="745" t="str">
        <f>IF(VLOOKUP(CONCATENATE($C$2,"-",$C23,"-0"),Languages!$A:$D,1,TRUE)=CONCATENATE($C$2,"-",$C23,"-0"),VLOOKUP(CONCATENATE($C$2,"-",$C23,"-0"),Languages!$A:$D,Kybermittari!$C$7,TRUE),NA())</f>
        <v>Rekisteri toiminnan osa-alueen toimintavarmuuden kannalta tärkeistä tietovarannoista on tärkeä osa kyberriskienhallintaa. Tärkeiden tietojen (kuten tallennus- ja käsittelypaikkojen, tiedon omistajuuden, salaus- ja eheysvaatimusten, tietovuot, vaatimustenmukaisuuden ja ohjelmistojen versionumerojen) rekisteröinti on edellytys monille muille kyberturvallisuuden hallintatoimille.</v>
      </c>
      <c r="D24" s="745"/>
      <c r="E24" s="745"/>
      <c r="F24" s="745"/>
      <c r="G24" s="745"/>
      <c r="H24" s="745"/>
      <c r="I24" s="745"/>
      <c r="J24" s="745"/>
      <c r="K24" s="471"/>
      <c r="L24" s="524"/>
      <c r="M24" s="545"/>
      <c r="N24" s="524"/>
      <c r="O24" s="473"/>
      <c r="P24" s="473"/>
    </row>
    <row r="25" spans="1:16" s="486" customFormat="1" ht="20" customHeight="1" x14ac:dyDescent="0.3">
      <c r="A25" s="523"/>
      <c r="B25" s="476"/>
      <c r="C25" s="477" t="str">
        <f>IF(VLOOKUP("GEN-LEVEL",Languages!$A:$D,1,TRUE)="GEN-LEVEL",VLOOKUP("GEN-LEVEL",Languages!$A:$D,Kybermittari!$C$7,TRUE),NA())</f>
        <v>Taso</v>
      </c>
      <c r="D25" s="477"/>
      <c r="E25" s="478" t="str">
        <f>IF(VLOOKUP("GEN-PRACTICE",Languages!$A:$D,1,TRUE)="GEN-PRACTICE",VLOOKUP("GEN-PRACTICE",Languages!$A:$D,Kybermittari!$C$7,TRUE),NA())</f>
        <v>Käytäntö</v>
      </c>
      <c r="F25" s="479"/>
      <c r="G25" s="480"/>
      <c r="H25" s="481"/>
      <c r="I25" s="478" t="str">
        <f>IF(VLOOKUP("GEN-ANSWER",Languages!$A:$D,1,TRUE)="GEN-ANSWER",VLOOKUP("GEN-ANSWER",Languages!$A:$D,Kybermittari!$C$7,TRUE),NA())</f>
        <v>Vastaus</v>
      </c>
      <c r="J25" s="480" t="str">
        <f>IF(VLOOKUP("GEN-COMMENT",Languages!$A:$D,1,TRUE)="GEN-COMMENT",VLOOKUP("GEN-COMMENT",Languages!$A:$D,Kybermittari!$C$7,TRUE),NA())</f>
        <v>Kommentti ja viittaukset</v>
      </c>
      <c r="K25" s="482"/>
      <c r="L25" s="524"/>
      <c r="M25" s="545"/>
      <c r="N25" s="524"/>
      <c r="O25" s="484"/>
      <c r="P25" s="484"/>
    </row>
    <row r="26" spans="1:16" s="486" customFormat="1" ht="10" customHeight="1" x14ac:dyDescent="0.3">
      <c r="A26" s="523"/>
      <c r="B26" s="476"/>
      <c r="C26" s="487"/>
      <c r="D26" s="487"/>
      <c r="E26" s="488"/>
      <c r="F26" s="489"/>
      <c r="G26" s="490"/>
      <c r="H26" s="491"/>
      <c r="I26" s="488"/>
      <c r="J26" s="490"/>
      <c r="K26" s="482"/>
      <c r="L26" s="524"/>
      <c r="M26" s="545"/>
      <c r="N26" s="524"/>
      <c r="O26" s="484"/>
      <c r="P26" s="484"/>
    </row>
    <row r="27" spans="1:16" s="510" customFormat="1" ht="80" customHeight="1" x14ac:dyDescent="0.3">
      <c r="A27" s="524"/>
      <c r="B27" s="741"/>
      <c r="C27" s="721">
        <v>1</v>
      </c>
      <c r="D27" s="508" t="s">
        <v>20</v>
      </c>
      <c r="E27" s="742" t="str">
        <f>IF(VLOOKUP(CONCATENATE($C$2,"-",$D27),Languages!$A:$D,1,TRUE)=CONCATENATE($C$2,"-",$D27),VLOOKUP(CONCATENATE($C$2,"-",$D27),Languages!$A:$D,Kybermittari!$C$7,TRUE),NA())</f>
        <v>Organisaatiolla on rekisteri (toiminnan osa-alueen toimintavarmuuden kannalta) tärkeistä tietovarannoista - vaikka rekisterin ylläpito ei välttämättä ole systemaattista tai kaikenkattavaa. (Tärkeät tietovarannot voivat sisältää esimerkiksi asiakastietoja, taloudellisia tietoja, tuotannonohjausjärjestelmän tietoja, laitteiden konfiguraatiotietoja tai lokitietoja).</v>
      </c>
      <c r="F27" s="742"/>
      <c r="G27" s="742"/>
      <c r="H27" s="493">
        <f>IFERROR(INT(LEFT($I27,1)),0)</f>
        <v>0</v>
      </c>
      <c r="I27" s="54"/>
      <c r="J27" s="526"/>
      <c r="K27" s="509"/>
      <c r="L27" s="524"/>
      <c r="M27" s="545"/>
      <c r="N27" s="524"/>
      <c r="O27" s="495"/>
      <c r="P27" s="495"/>
    </row>
    <row r="28" spans="1:16" s="510" customFormat="1" ht="10" customHeight="1" x14ac:dyDescent="0.3">
      <c r="A28" s="524"/>
      <c r="B28" s="741"/>
      <c r="C28" s="565"/>
      <c r="D28" s="513"/>
      <c r="E28" s="501"/>
      <c r="F28" s="501"/>
      <c r="G28" s="501"/>
      <c r="H28" s="499"/>
      <c r="I28" s="502"/>
      <c r="J28" s="502"/>
      <c r="K28" s="509"/>
      <c r="L28" s="524"/>
      <c r="M28" s="545"/>
      <c r="N28" s="524"/>
      <c r="O28" s="495"/>
      <c r="P28" s="495"/>
    </row>
    <row r="29" spans="1:16" s="510" customFormat="1" ht="85" customHeight="1" x14ac:dyDescent="0.3">
      <c r="A29" s="524"/>
      <c r="B29" s="741"/>
      <c r="C29" s="757">
        <v>2</v>
      </c>
      <c r="D29" s="508" t="s">
        <v>21</v>
      </c>
      <c r="E29" s="742" t="str">
        <f>IF(VLOOKUP(CONCATENATE($C$2,"-",$D29),Languages!$A:$D,1,TRUE)=CONCATENATE($C$2,"-",$D29),VLOOKUP(CONCATENATE($C$2,"-",$D29),Languages!$A:$D,Kybermittari!$C$7,TRUE),NA())</f>
        <v>Tietovarantojen rekisteriin kirjataan tiedot, joita organisaatio tarvitsee kyberturvallisuuteen liittyvien toimintojen hoitamiseen ja organisaation kyberturvallisuusstrategian tueksi [kts. PROGRAM-1a]. (Tällaisia tietoja ovat esimerkiksi tallennus- ja käsittelypaikat, tiedon omistajuudet, salaus- ja eheysvaatimukset, tietovuot sekä vaatimustenmukaisuus).</v>
      </c>
      <c r="F29" s="742"/>
      <c r="G29" s="742"/>
      <c r="H29" s="493">
        <f>IFERROR(INT(LEFT($I29,1)),0)</f>
        <v>0</v>
      </c>
      <c r="I29" s="54"/>
      <c r="J29" s="527"/>
      <c r="K29" s="509"/>
      <c r="L29" s="524"/>
      <c r="M29" s="545"/>
      <c r="N29" s="524"/>
      <c r="O29" s="495"/>
      <c r="P29" s="495"/>
    </row>
    <row r="30" spans="1:16" s="510" customFormat="1" ht="25.5" customHeight="1" x14ac:dyDescent="0.3">
      <c r="A30" s="524"/>
      <c r="B30" s="741"/>
      <c r="C30" s="759"/>
      <c r="D30" s="508" t="s">
        <v>22</v>
      </c>
      <c r="E30" s="742" t="str">
        <f>IF(VLOOKUP(CONCATENATE($C$2,"-",$D30),Languages!$A:$D,1,TRUE)=CONCATENATE($C$2,"-",$D30),VLOOKUP(CONCATENATE($C$2,"-",$D30),Languages!$A:$D,Kybermittari!$C$7,TRUE),NA())</f>
        <v>Organisaatio kategorisoi rekisteröidyt tietovarannot määrittämällään tavalla.</v>
      </c>
      <c r="F30" s="742"/>
      <c r="G30" s="742"/>
      <c r="H30" s="493">
        <f>IFERROR(INT(LEFT($I30,1)),0)</f>
        <v>0</v>
      </c>
      <c r="I30" s="54"/>
      <c r="J30" s="527"/>
      <c r="K30" s="509"/>
      <c r="L30" s="524"/>
      <c r="M30" s="545"/>
      <c r="N30" s="524"/>
      <c r="O30" s="495"/>
      <c r="P30" s="495"/>
    </row>
    <row r="31" spans="1:16" s="510" customFormat="1" ht="10" customHeight="1" x14ac:dyDescent="0.3">
      <c r="A31" s="524"/>
      <c r="B31" s="741"/>
      <c r="C31" s="565"/>
      <c r="D31" s="513"/>
      <c r="E31" s="501"/>
      <c r="F31" s="501"/>
      <c r="G31" s="501"/>
      <c r="H31" s="499"/>
      <c r="I31" s="502"/>
      <c r="J31" s="514"/>
      <c r="K31" s="509"/>
      <c r="L31" s="524"/>
      <c r="M31" s="545"/>
      <c r="N31" s="524"/>
      <c r="O31" s="495"/>
      <c r="P31" s="495"/>
    </row>
    <row r="32" spans="1:16" s="510" customFormat="1" ht="35" customHeight="1" x14ac:dyDescent="0.3">
      <c r="A32" s="524"/>
      <c r="B32" s="741"/>
      <c r="C32" s="757">
        <v>3</v>
      </c>
      <c r="D32" s="508" t="s">
        <v>23</v>
      </c>
      <c r="E32" s="742" t="str">
        <f>IF(VLOOKUP(CONCATENATE($C$2,"-",$D32),Languages!$A:$D,1,TRUE)=CONCATENATE($C$2,"-",$D32),VLOOKUP(CONCATENATE($C$2,"-",$D32),Languages!$A:$D,Kybermittari!$C$7,TRUE),NA())</f>
        <v>Organisaatiolla on omaisuusrekisteri kaikista toiminnan osa-alueen toimintavarmuuden kannalta tärkeistä tietovarannoista.</v>
      </c>
      <c r="F32" s="742"/>
      <c r="G32" s="742"/>
      <c r="H32" s="493">
        <f>IFERROR(INT(LEFT($I32,1)),0)</f>
        <v>0</v>
      </c>
      <c r="I32" s="54"/>
      <c r="J32" s="527"/>
      <c r="K32" s="509"/>
      <c r="L32" s="618"/>
      <c r="M32" s="545"/>
      <c r="N32" s="618"/>
      <c r="O32" s="495"/>
      <c r="P32" s="495"/>
    </row>
    <row r="33" spans="1:16" s="510" customFormat="1" ht="35" customHeight="1" x14ac:dyDescent="0.3">
      <c r="A33" s="524"/>
      <c r="B33" s="741"/>
      <c r="C33" s="758"/>
      <c r="D33" s="508" t="s">
        <v>24</v>
      </c>
      <c r="E33" s="742" t="str">
        <f>IF(VLOOKUP(CONCATENATE($C$2,"-",$D33),Languages!$A:$D,1,TRUE)=CONCATENATE($C$2,"-",$D33),VLOOKUP(CONCATENATE($C$2,"-",$D33),Languages!$A:$D,Kybermittari!$C$7,TRUE),NA())</f>
        <v>Omaisuusrekisteri on ajan tasalla (organisaation määrittämien kriteerin mukaisesti).</v>
      </c>
      <c r="F33" s="742"/>
      <c r="G33" s="742"/>
      <c r="H33" s="493">
        <f>IFERROR(INT(LEFT($I33,1)),0)</f>
        <v>0</v>
      </c>
      <c r="I33" s="54"/>
      <c r="J33" s="527"/>
      <c r="K33" s="509"/>
      <c r="L33" s="524"/>
      <c r="M33" s="545"/>
      <c r="N33" s="524"/>
      <c r="O33" s="495"/>
      <c r="P33" s="495"/>
    </row>
    <row r="34" spans="1:16" s="510" customFormat="1" ht="35" customHeight="1" x14ac:dyDescent="0.3">
      <c r="A34" s="524"/>
      <c r="B34" s="741"/>
      <c r="C34" s="759"/>
      <c r="D34" s="508" t="s">
        <v>112</v>
      </c>
      <c r="E34" s="742" t="str">
        <f>IF(VLOOKUP(CONCATENATE($C$2,"-",$D34),Languages!$A:$D,1,TRUE)=CONCATENATE($C$2,"-",$D34),VLOOKUP(CONCATENATE($C$2,"-",$D34),Languages!$A:$D,Kybermittari!$C$7,TRUE),NA())</f>
        <v>Omaisuusrekisteriä hyödynnetään kyberriskien tunnistamisessa (esim. tietojen paljastumisen, tuhoutumisen tai luvattomien muutosten riski).</v>
      </c>
      <c r="F34" s="742"/>
      <c r="G34" s="742"/>
      <c r="H34" s="493">
        <f>IFERROR(INT(LEFT($I34,1)),0)</f>
        <v>0</v>
      </c>
      <c r="I34" s="54"/>
      <c r="J34" s="527"/>
      <c r="K34" s="509"/>
      <c r="L34" s="483"/>
      <c r="M34" s="545"/>
      <c r="N34" s="523"/>
      <c r="O34" s="495"/>
      <c r="P34" s="495"/>
    </row>
    <row r="35" spans="1:16" s="343" customFormat="1" ht="30" customHeight="1" x14ac:dyDescent="0.25">
      <c r="A35" s="332"/>
      <c r="B35" s="461"/>
      <c r="C35" s="336">
        <v>3</v>
      </c>
      <c r="D35" s="336" t="str">
        <f>IF(VLOOKUP(CONCATENATE($C$2,"-",C35),Languages!$A:$D,1,TRUE)=CONCATENATE($C$2,"-",C35),VLOOKUP(CONCATENATE($C$2,"-",C35),Languages!$A:$D,Kybermittari!$C$7,TRUE),NA())</f>
        <v>Suojattavan omaisuuden konfiguraation hallinta</v>
      </c>
      <c r="E35" s="336"/>
      <c r="F35" s="506"/>
      <c r="G35" s="506"/>
      <c r="H35" s="507"/>
      <c r="I35" s="506" t="s">
        <v>19</v>
      </c>
      <c r="J35" s="507"/>
      <c r="K35" s="339"/>
      <c r="L35" s="332"/>
      <c r="M35" s="533"/>
      <c r="N35" s="636"/>
      <c r="O35" s="341"/>
      <c r="P35" s="341"/>
    </row>
    <row r="36" spans="1:16" s="475" customFormat="1" ht="60" customHeight="1" x14ac:dyDescent="0.3">
      <c r="A36" s="469"/>
      <c r="B36" s="470"/>
      <c r="C36" s="745" t="str">
        <f>IF(VLOOKUP(CONCATENATE($C$2,"-",$C35,"-0"),Languages!$A:$D,1,TRUE)=CONCATENATE($C$2,"-",$C35,"-0"),VLOOKUP(CONCATENATE($C$2,"-",$C35,"-0"),Languages!$A:$D,Kybermittari!$C$7,TRUE),NA())</f>
        <v>Konfiguraation hallinta pitää sisällään suojattavien kohteiden (kuten suojattavan tieto-, IT- ja OT-omaisuuden) vakioitujen perusasetusten määrittämisen ja tarkistukset siitä, että konfiguraatiot ovat näiden perusasetusten mukaiset. Yleisimmin tällä varmistetaan se, että kaikki samanlaiset suojattavat kohteet on konfiguroitu samalla tavalla. Niissä tapauksissa, joissa suojattavat kohteet eroavat merkittävästi toisistaan tai yksilöllisiä asetuksia joudutaan käyttämään, konfiguraatioiden hallinnan avulla on tarkoitus varmistaa, että kyseisen suojattavan kohteen konfiguraation perusasetukset on määritetty ja suojattavan kohteen asetukset säilyvät perusasetusten mukaisina.</v>
      </c>
      <c r="D36" s="745"/>
      <c r="E36" s="745"/>
      <c r="F36" s="745"/>
      <c r="G36" s="745"/>
      <c r="H36" s="745"/>
      <c r="I36" s="745"/>
      <c r="J36" s="745"/>
      <c r="K36" s="471"/>
      <c r="L36" s="483"/>
      <c r="M36" s="545"/>
      <c r="N36" s="523"/>
      <c r="O36" s="473"/>
      <c r="P36" s="473"/>
    </row>
    <row r="37" spans="1:16" s="486" customFormat="1" ht="20" customHeight="1" x14ac:dyDescent="0.3">
      <c r="A37" s="523"/>
      <c r="B37" s="476"/>
      <c r="C37" s="477" t="str">
        <f>IF(VLOOKUP("GEN-LEVEL",Languages!$A:$D,1,TRUE)="GEN-LEVEL",VLOOKUP("GEN-LEVEL",Languages!$A:$D,Kybermittari!$C$7,TRUE),NA())</f>
        <v>Taso</v>
      </c>
      <c r="D37" s="477"/>
      <c r="E37" s="478" t="str">
        <f>IF(VLOOKUP("GEN-PRACTICE",Languages!$A:$D,1,TRUE)="GEN-PRACTICE",VLOOKUP("GEN-PRACTICE",Languages!$A:$D,Kybermittari!$C$7,TRUE),NA())</f>
        <v>Käytäntö</v>
      </c>
      <c r="F37" s="479"/>
      <c r="G37" s="480"/>
      <c r="H37" s="481"/>
      <c r="I37" s="478" t="str">
        <f>IF(VLOOKUP("GEN-ANSWER",Languages!$A:$D,1,TRUE)="GEN-ANSWER",VLOOKUP("GEN-ANSWER",Languages!$A:$D,Kybermittari!$C$7,TRUE),NA())</f>
        <v>Vastaus</v>
      </c>
      <c r="J37" s="480" t="str">
        <f>IF(VLOOKUP("GEN-COMMENT",Languages!$A:$D,1,TRUE)="GEN-COMMENT",VLOOKUP("GEN-COMMENT",Languages!$A:$D,Kybermittari!$C$7,TRUE),NA())</f>
        <v>Kommentti ja viittaukset</v>
      </c>
      <c r="K37" s="482"/>
      <c r="L37" s="483"/>
      <c r="M37" s="545"/>
      <c r="N37" s="523"/>
      <c r="O37" s="484"/>
      <c r="P37" s="484"/>
    </row>
    <row r="38" spans="1:16" s="486" customFormat="1" ht="10" customHeight="1" x14ac:dyDescent="0.3">
      <c r="A38" s="523"/>
      <c r="B38" s="476"/>
      <c r="C38" s="487"/>
      <c r="D38" s="487"/>
      <c r="E38" s="488"/>
      <c r="F38" s="489"/>
      <c r="G38" s="490"/>
      <c r="H38" s="491"/>
      <c r="I38" s="488"/>
      <c r="J38" s="490"/>
      <c r="K38" s="482"/>
      <c r="L38" s="483"/>
      <c r="M38" s="545"/>
      <c r="N38" s="523"/>
      <c r="O38" s="484"/>
      <c r="P38" s="484"/>
    </row>
    <row r="39" spans="1:16" s="510" customFormat="1" ht="60" customHeight="1" x14ac:dyDescent="0.3">
      <c r="A39" s="524"/>
      <c r="B39" s="741"/>
      <c r="C39" s="757">
        <v>1</v>
      </c>
      <c r="D39" s="508" t="s">
        <v>25</v>
      </c>
      <c r="E39" s="742" t="str">
        <f>IF(VLOOKUP(CONCATENATE($C$2,"-",$D39),Languages!$A:$D,1,TRUE)=CONCATENATE($C$2,"-",$D39),VLOOKUP(CONCATENATE($C$2,"-",$D39),Languages!$A:$D,Kybermittari!$C$7,TRUE),NA())</f>
        <v>Rekisteröityjen suojattavien kohteiden konfiguraatiolle määritetään vakioidut perusasetukset, silloin kun on tarpeellista varmistaa, että samankaltaiset kohteet on konfiguroitu samalla tavalla - vaikka ei välttämättä systemaattisesti ja kaiken kattavasti.</v>
      </c>
      <c r="F39" s="742"/>
      <c r="G39" s="742"/>
      <c r="H39" s="493">
        <f>IFERROR(INT(LEFT($I39,1)),0)</f>
        <v>0</v>
      </c>
      <c r="I39" s="54"/>
      <c r="J39" s="526"/>
      <c r="K39" s="509"/>
      <c r="L39" s="524"/>
      <c r="M39" s="545"/>
      <c r="N39" s="524"/>
      <c r="O39" s="495"/>
      <c r="P39" s="495"/>
    </row>
    <row r="40" spans="1:16" s="510" customFormat="1" ht="35" customHeight="1" x14ac:dyDescent="0.3">
      <c r="A40" s="524"/>
      <c r="B40" s="741"/>
      <c r="C40" s="759"/>
      <c r="D40" s="508" t="s">
        <v>26</v>
      </c>
      <c r="E40" s="742" t="str">
        <f>IF(VLOOKUP(CONCATENATE($C$2,"-",$D40),Languages!$A:$D,1,TRUE)=CONCATENATE($C$2,"-",$D40),VLOOKUP(CONCATENATE($C$2,"-",$D40),Languages!$A:$D,Kybermittari!$C$7,TRUE),NA())</f>
        <v>Vakioituja perusasetuksia käytetään suojattavien kohteiden käyttöönotossa ja käyttöön palautuksessa - ainakin tapauskohtaisesti.</v>
      </c>
      <c r="F40" s="742"/>
      <c r="G40" s="742"/>
      <c r="H40" s="493">
        <f>IFERROR(INT(LEFT($I40,1)),0)</f>
        <v>0</v>
      </c>
      <c r="I40" s="54"/>
      <c r="J40" s="527"/>
      <c r="K40" s="509"/>
      <c r="L40" s="524"/>
      <c r="M40" s="545"/>
      <c r="N40" s="524"/>
      <c r="O40" s="495"/>
      <c r="P40" s="495"/>
    </row>
    <row r="41" spans="1:16" s="510" customFormat="1" ht="10" customHeight="1" x14ac:dyDescent="0.3">
      <c r="A41" s="524"/>
      <c r="B41" s="720"/>
      <c r="C41" s="565"/>
      <c r="D41" s="513"/>
      <c r="E41" s="501"/>
      <c r="F41" s="501"/>
      <c r="G41" s="501"/>
      <c r="H41" s="499"/>
      <c r="I41" s="502"/>
      <c r="J41" s="514"/>
      <c r="K41" s="509"/>
      <c r="L41" s="524"/>
      <c r="M41" s="545"/>
      <c r="N41" s="524"/>
      <c r="O41" s="495"/>
      <c r="P41" s="495"/>
    </row>
    <row r="42" spans="1:16" s="510" customFormat="1" ht="35" customHeight="1" x14ac:dyDescent="0.3">
      <c r="A42" s="524"/>
      <c r="B42" s="741"/>
      <c r="C42" s="721">
        <v>2</v>
      </c>
      <c r="D42" s="508" t="s">
        <v>27</v>
      </c>
      <c r="E42" s="742" t="str">
        <f>IF(VLOOKUP(CONCATENATE($C$2,"-",$D42),Languages!$A:$D,1,TRUE)=CONCATENATE($C$2,"-",$D42),VLOOKUP(CONCATENATE($C$2,"-",$D42),Languages!$A:$D,Kybermittari!$C$7,TRUE),NA())</f>
        <v>Vakioitujen perusasetuksien suunnittelussa huomioidaan organisaation kyberturvallisuustavoitteet [kts. PROGRAM-1b].</v>
      </c>
      <c r="F42" s="742"/>
      <c r="G42" s="742"/>
      <c r="H42" s="493">
        <f>IFERROR(INT(LEFT($I42,1)),0)</f>
        <v>0</v>
      </c>
      <c r="I42" s="54"/>
      <c r="J42" s="527"/>
      <c r="K42" s="509"/>
      <c r="L42" s="524"/>
      <c r="M42" s="545"/>
      <c r="N42" s="524"/>
      <c r="O42" s="495"/>
      <c r="P42" s="495"/>
    </row>
    <row r="43" spans="1:16" s="510" customFormat="1" ht="10" customHeight="1" x14ac:dyDescent="0.3">
      <c r="A43" s="524"/>
      <c r="B43" s="741"/>
      <c r="C43" s="565"/>
      <c r="D43" s="513"/>
      <c r="E43" s="501"/>
      <c r="F43" s="501"/>
      <c r="G43" s="501"/>
      <c r="H43" s="499"/>
      <c r="I43" s="502"/>
      <c r="J43" s="514"/>
      <c r="K43" s="509"/>
      <c r="L43" s="524"/>
      <c r="M43" s="545"/>
      <c r="N43" s="524"/>
      <c r="O43" s="495"/>
      <c r="P43" s="495"/>
    </row>
    <row r="44" spans="1:16" s="510" customFormat="1" ht="44" customHeight="1" x14ac:dyDescent="0.3">
      <c r="A44" s="524"/>
      <c r="B44" s="741"/>
      <c r="C44" s="760">
        <v>3</v>
      </c>
      <c r="D44" s="508" t="s">
        <v>28</v>
      </c>
      <c r="E44" s="742" t="str">
        <f>IF(VLOOKUP(CONCATENATE($C$2,"-",$D44),Languages!$A:$D,1,TRUE)=CONCATENATE($C$2,"-",$D44),VLOOKUP(CONCATENATE($C$2,"-",$D44),Languages!$A:$D,Kybermittari!$C$7,TRUE),NA())</f>
        <v>Suojattavien kohteiden konfiguraation yhdenmukaisuutta vakioitujen perusasetusten kanssa monitoroidaan kohteen koko käyttöiän ajan.</v>
      </c>
      <c r="F44" s="742"/>
      <c r="G44" s="742"/>
      <c r="H44" s="493">
        <f>IFERROR(INT(LEFT($I44,1)),0)</f>
        <v>0</v>
      </c>
      <c r="I44" s="54"/>
      <c r="J44" s="527"/>
      <c r="K44" s="509"/>
      <c r="L44" s="524"/>
      <c r="M44" s="545"/>
      <c r="N44" s="524"/>
      <c r="O44" s="495"/>
      <c r="P44" s="495"/>
    </row>
    <row r="45" spans="1:16" s="510" customFormat="1" ht="35" customHeight="1" x14ac:dyDescent="0.3">
      <c r="A45" s="524"/>
      <c r="B45" s="741"/>
      <c r="C45" s="760"/>
      <c r="D45" s="508" t="s">
        <v>29</v>
      </c>
      <c r="E45" s="742" t="str">
        <f>IF(VLOOKUP(CONCATENATE($C$2,"-",$D45),Languages!$A:$D,1,TRUE)=CONCATENATE($C$2,"-",$D45),VLOOKUP(CONCATENATE($C$2,"-",$D45),Languages!$A:$D,Kybermittari!$C$7,TRUE),NA())</f>
        <v>Vakioidut perusasetukset katselmoidaan ja päivitetään organisaation määrittelemin aikavälein.</v>
      </c>
      <c r="F45" s="742"/>
      <c r="G45" s="742"/>
      <c r="H45" s="493">
        <f>IFERROR(INT(LEFT($I45,1)),0)</f>
        <v>0</v>
      </c>
      <c r="I45" s="54"/>
      <c r="J45" s="527"/>
      <c r="K45" s="509"/>
      <c r="L45" s="524"/>
      <c r="M45" s="545"/>
      <c r="N45" s="524"/>
      <c r="O45" s="495"/>
      <c r="P45" s="495"/>
    </row>
    <row r="46" spans="1:16" s="510" customFormat="1" ht="44.5" customHeight="1" x14ac:dyDescent="0.3">
      <c r="A46" s="524"/>
      <c r="B46" s="741"/>
      <c r="C46" s="760"/>
      <c r="D46" s="508" t="s">
        <v>30</v>
      </c>
      <c r="E46" s="742" t="str">
        <f>IF(VLOOKUP(CONCATENATE($C$2,"-",$D46),Languages!$A:$D,1,TRUE)=CONCATENATE($C$2,"-",$D46),VLOOKUP(CONCATENATE($C$2,"-",$D46),Languages!$A:$D,Kybermittari!$C$7,TRUE),NA())</f>
        <v>Vakioidut perusasetukset huomioivat turvallisuusvyöhykkeistä [kts. ARCHITECTURE-2b] johdetut vaatimukset (esim. verkkolaitteiden konfiguraatiot on räätälöity vyöhykkeen liikennerajoitusten mukaisesti).</v>
      </c>
      <c r="F46" s="742"/>
      <c r="G46" s="742"/>
      <c r="H46" s="493">
        <f>IFERROR(INT(LEFT($I46,1)),0)</f>
        <v>0</v>
      </c>
      <c r="I46" s="54"/>
      <c r="J46" s="527"/>
      <c r="K46" s="509"/>
      <c r="L46" s="524"/>
      <c r="M46" s="545"/>
      <c r="N46" s="524"/>
      <c r="O46" s="495"/>
      <c r="P46" s="495"/>
    </row>
    <row r="47" spans="1:16" s="343" customFormat="1" ht="30" customHeight="1" x14ac:dyDescent="0.25">
      <c r="A47" s="332"/>
      <c r="B47" s="461"/>
      <c r="C47" s="336">
        <v>4</v>
      </c>
      <c r="D47" s="336" t="str">
        <f>IF(VLOOKUP(CONCATENATE($C$2,"-",C47),Languages!$A:$D,1,TRUE)=CONCATENATE($C$2,"-",C47),VLOOKUP(CONCATENATE($C$2,"-",C47),Languages!$A:$D,Kybermittari!$C$7,TRUE),NA())</f>
        <v>Suojattavien kohteiden muutoksenhallinta</v>
      </c>
      <c r="E47" s="336"/>
      <c r="F47" s="506"/>
      <c r="G47" s="506"/>
      <c r="H47" s="507"/>
      <c r="I47" s="506" t="s">
        <v>19</v>
      </c>
      <c r="J47" s="507"/>
      <c r="K47" s="339"/>
      <c r="L47" s="340"/>
      <c r="M47" s="533"/>
      <c r="N47" s="340"/>
      <c r="O47" s="341"/>
      <c r="P47" s="341"/>
    </row>
    <row r="48" spans="1:16" s="475" customFormat="1" ht="50.5" customHeight="1" x14ac:dyDescent="0.3">
      <c r="A48" s="469"/>
      <c r="B48" s="470"/>
      <c r="C48" s="745" t="str">
        <f>IF(VLOOKUP(CONCATENATE($C$2,"-",$C47,"-0"),Languages!$A:$D,1,TRUE)=CONCATENATE($C$2,"-",$C47,"-0"),VLOOKUP(CONCATENATE($C$2,"-",$C47,"-0"),Languages!$A:$D,Kybermittari!$C$7,TRUE),NA())</f>
        <v>Suojattavien kohteiden (kuten suojattavan tieto-, IT- ja OT-omaisuuden) muutostenhallinta sisältää muutospyyntöjen arvioinnin niin, että hyväksymättömiä muutoksia ei pääse tuotantoympäristöön, prosessin joka varmistaa kaikkien muutosten noudattavan muutoshallintaprosessia sekä luvattomien muutosten tunnistamisen. Muutostenhallinta koskettaa suojattavien kohteiden koko elinkaarta, mukaan lukien määrittely, testaus, käyttöönotto ja huolto sekä käytöstä poistaminen.</v>
      </c>
      <c r="D48" s="745"/>
      <c r="E48" s="745"/>
      <c r="F48" s="745"/>
      <c r="G48" s="745"/>
      <c r="H48" s="745"/>
      <c r="I48" s="745"/>
      <c r="J48" s="745"/>
      <c r="K48" s="471"/>
      <c r="L48" s="524"/>
      <c r="M48" s="545"/>
      <c r="N48" s="524"/>
      <c r="O48" s="473"/>
      <c r="P48" s="473"/>
    </row>
    <row r="49" spans="1:16" s="486" customFormat="1" ht="20" customHeight="1" x14ac:dyDescent="0.3">
      <c r="A49" s="523"/>
      <c r="B49" s="476"/>
      <c r="C49" s="477" t="str">
        <f>IF(VLOOKUP("GEN-LEVEL",Languages!$A:$D,1,TRUE)="GEN-LEVEL",VLOOKUP("GEN-LEVEL",Languages!$A:$D,Kybermittari!$C$7,TRUE),NA())</f>
        <v>Taso</v>
      </c>
      <c r="D49" s="477"/>
      <c r="E49" s="478" t="str">
        <f>IF(VLOOKUP("GEN-PRACTICE",Languages!$A:$D,1,TRUE)="GEN-PRACTICE",VLOOKUP("GEN-PRACTICE",Languages!$A:$D,Kybermittari!$C$7,TRUE),NA())</f>
        <v>Käytäntö</v>
      </c>
      <c r="F49" s="479"/>
      <c r="G49" s="480"/>
      <c r="H49" s="481"/>
      <c r="I49" s="478" t="str">
        <f>IF(VLOOKUP("GEN-ANSWER",Languages!$A:$D,1,TRUE)="GEN-ANSWER",VLOOKUP("GEN-ANSWER",Languages!$A:$D,Kybermittari!$C$7,TRUE),NA())</f>
        <v>Vastaus</v>
      </c>
      <c r="J49" s="480" t="str">
        <f>IF(VLOOKUP("GEN-COMMENT",Languages!$A:$D,1,TRUE)="GEN-COMMENT",VLOOKUP("GEN-COMMENT",Languages!$A:$D,Kybermittari!$C$7,TRUE),NA())</f>
        <v>Kommentti ja viittaukset</v>
      </c>
      <c r="K49" s="482"/>
      <c r="L49" s="483"/>
      <c r="M49" s="545"/>
      <c r="N49" s="523"/>
      <c r="O49" s="484"/>
      <c r="P49" s="484"/>
    </row>
    <row r="50" spans="1:16" s="486" customFormat="1" ht="10" customHeight="1" x14ac:dyDescent="0.3">
      <c r="A50" s="523"/>
      <c r="B50" s="476"/>
      <c r="C50" s="487"/>
      <c r="D50" s="487"/>
      <c r="E50" s="488"/>
      <c r="F50" s="489"/>
      <c r="G50" s="490"/>
      <c r="H50" s="491"/>
      <c r="I50" s="488"/>
      <c r="J50" s="490"/>
      <c r="K50" s="482"/>
      <c r="L50" s="483"/>
      <c r="M50" s="545"/>
      <c r="N50" s="523"/>
      <c r="O50" s="484"/>
      <c r="P50" s="484"/>
    </row>
    <row r="51" spans="1:16" s="510" customFormat="1" ht="35" customHeight="1" x14ac:dyDescent="0.3">
      <c r="A51" s="524"/>
      <c r="B51" s="741"/>
      <c r="C51" s="757">
        <v>1</v>
      </c>
      <c r="D51" s="508" t="s">
        <v>126</v>
      </c>
      <c r="E51" s="742" t="str">
        <f>IF(VLOOKUP(CONCATENATE($C$2,"-",$D51),Languages!$A:$D,1,TRUE)=CONCATENATE($C$2,"-",$D51),VLOOKUP(CONCATENATE($C$2,"-",$D51),Languages!$A:$D,Kybermittari!$C$7,TRUE),NA())</f>
        <v>Rekisteröityihin suojattaviin kohteisiin tehtävät muutokset katselmoidaan ennen toteutusta - ainakin tapauskohtaisesti.</v>
      </c>
      <c r="F51" s="742"/>
      <c r="G51" s="742"/>
      <c r="H51" s="493">
        <f>IFERROR(INT(LEFT($I51,1)),0)</f>
        <v>0</v>
      </c>
      <c r="I51" s="54"/>
      <c r="J51" s="526"/>
      <c r="K51" s="509"/>
      <c r="L51" s="483"/>
      <c r="M51" s="545"/>
      <c r="N51" s="523"/>
      <c r="O51" s="495"/>
      <c r="P51" s="495"/>
    </row>
    <row r="52" spans="1:16" s="510" customFormat="1" ht="35" customHeight="1" x14ac:dyDescent="0.3">
      <c r="A52" s="524"/>
      <c r="B52" s="741"/>
      <c r="C52" s="759"/>
      <c r="D52" s="508" t="s">
        <v>129</v>
      </c>
      <c r="E52" s="742" t="str">
        <f>IF(VLOOKUP(CONCATENATE($C$2,"-",$D52),Languages!$A:$D,1,TRUE)=CONCATENATE($C$2,"-",$D52),VLOOKUP(CONCATENATE($C$2,"-",$D52),Languages!$A:$D,Kybermittari!$C$7,TRUE),NA())</f>
        <v>Rekisteröityihin suojattaviin kohteisiin tehtävät muutokset kirjataan lokiin - ainakin tapauskohtaisesti.</v>
      </c>
      <c r="F52" s="742"/>
      <c r="G52" s="742"/>
      <c r="H52" s="493">
        <f>IFERROR(INT(LEFT($I52,1)),0)</f>
        <v>0</v>
      </c>
      <c r="I52" s="54"/>
      <c r="J52" s="527"/>
      <c r="K52" s="509"/>
      <c r="L52" s="483"/>
      <c r="M52" s="545"/>
      <c r="N52" s="523"/>
      <c r="O52" s="495"/>
      <c r="P52" s="495"/>
    </row>
    <row r="53" spans="1:16" s="510" customFormat="1" ht="10" customHeight="1" x14ac:dyDescent="0.3">
      <c r="A53" s="524"/>
      <c r="B53" s="720"/>
      <c r="C53" s="565"/>
      <c r="D53" s="513"/>
      <c r="E53" s="501"/>
      <c r="F53" s="501"/>
      <c r="G53" s="501"/>
      <c r="H53" s="499"/>
      <c r="I53" s="502"/>
      <c r="J53" s="514"/>
      <c r="K53" s="509"/>
      <c r="L53" s="483"/>
      <c r="M53" s="545"/>
      <c r="N53" s="523"/>
      <c r="O53" s="495"/>
      <c r="P53" s="495"/>
    </row>
    <row r="54" spans="1:16" s="510" customFormat="1" ht="35" customHeight="1" x14ac:dyDescent="0.3">
      <c r="A54" s="524"/>
      <c r="B54" s="741"/>
      <c r="C54" s="760">
        <v>2</v>
      </c>
      <c r="D54" s="508" t="s">
        <v>132</v>
      </c>
      <c r="E54" s="742" t="str">
        <f>IF(VLOOKUP(CONCATENATE($C$2,"-",$D54),Languages!$A:$D,1,TRUE)=CONCATENATE($C$2,"-",$D54),VLOOKUP(CONCATENATE($C$2,"-",$D54),Languages!$A:$D,Kybermittari!$C$7,TRUE),NA())</f>
        <v>Rekisteröityihin suojattaviin kohteisiin tehtävät muutokset testataan ennen toteutusta aina kun mahdollista.</v>
      </c>
      <c r="F54" s="742"/>
      <c r="G54" s="742"/>
      <c r="H54" s="493">
        <f>IFERROR(INT(LEFT($I54,1)),0)</f>
        <v>0</v>
      </c>
      <c r="I54" s="54"/>
      <c r="J54" s="527"/>
      <c r="K54" s="509"/>
      <c r="L54" s="483"/>
      <c r="M54" s="545"/>
      <c r="N54" s="523"/>
      <c r="O54" s="495"/>
      <c r="P54" s="495"/>
    </row>
    <row r="55" spans="1:16" s="510" customFormat="1" ht="35" customHeight="1" x14ac:dyDescent="0.3">
      <c r="A55" s="524"/>
      <c r="B55" s="741"/>
      <c r="C55" s="760"/>
      <c r="D55" s="508" t="s">
        <v>135</v>
      </c>
      <c r="E55" s="742" t="str">
        <f>IF(VLOOKUP(CONCATENATE($C$2,"-",$D55),Languages!$A:$D,1,TRUE)=CONCATENATE($C$2,"-",$D55),VLOOKUP(CONCATENATE($C$2,"-",$D55),Languages!$A:$D,Kybermittari!$C$7,TRUE),NA())</f>
        <v>Muutostenhallintakäytännöt kattavat suojattavien kohteiden koko elinkaaren (hankinta, käyttöönotto, käyttö, käytöstä poisto).</v>
      </c>
      <c r="F55" s="742"/>
      <c r="G55" s="742"/>
      <c r="H55" s="493">
        <f>IFERROR(INT(LEFT($I55,1)),0)</f>
        <v>0</v>
      </c>
      <c r="I55" s="54"/>
      <c r="J55" s="527"/>
      <c r="K55" s="509"/>
      <c r="L55" s="524"/>
      <c r="M55" s="545"/>
      <c r="N55" s="524"/>
      <c r="O55" s="495"/>
      <c r="P55" s="495"/>
    </row>
    <row r="56" spans="1:16" s="510" customFormat="1" ht="10" customHeight="1" x14ac:dyDescent="0.3">
      <c r="A56" s="524"/>
      <c r="B56" s="741"/>
      <c r="C56" s="565"/>
      <c r="D56" s="513"/>
      <c r="E56" s="501"/>
      <c r="F56" s="501"/>
      <c r="G56" s="501"/>
      <c r="H56" s="499"/>
      <c r="I56" s="502"/>
      <c r="J56" s="514"/>
      <c r="K56" s="509"/>
      <c r="L56" s="524"/>
      <c r="M56" s="545"/>
      <c r="N56" s="524"/>
      <c r="O56" s="495"/>
      <c r="P56" s="495"/>
    </row>
    <row r="57" spans="1:16" s="510" customFormat="1" ht="35" customHeight="1" x14ac:dyDescent="0.3">
      <c r="A57" s="524"/>
      <c r="B57" s="741"/>
      <c r="C57" s="757">
        <v>3</v>
      </c>
      <c r="D57" s="508" t="s">
        <v>138</v>
      </c>
      <c r="E57" s="742" t="str">
        <f>IF(VLOOKUP(CONCATENATE($C$2,"-",$D57),Languages!$A:$D,1,TRUE)=CONCATENATE($C$2,"-",$D57),VLOOKUP(CONCATENATE($C$2,"-",$D57),Languages!$A:$D,Kybermittari!$C$7,TRUE),NA())</f>
        <v>Rekisteröityihin suojattaviin kohteisiin tehtävien muutosten vaikutukset kyberturvallisuuteen testataan ennen toteutusta.</v>
      </c>
      <c r="F57" s="742"/>
      <c r="G57" s="742"/>
      <c r="H57" s="493">
        <f>IFERROR(INT(LEFT($I57,1)),0)</f>
        <v>0</v>
      </c>
      <c r="I57" s="54"/>
      <c r="J57" s="527"/>
      <c r="K57" s="509"/>
      <c r="L57" s="524"/>
      <c r="M57" s="545"/>
      <c r="N57" s="524"/>
      <c r="O57" s="495"/>
      <c r="P57" s="495"/>
    </row>
    <row r="58" spans="1:16" s="510" customFormat="1" ht="47" customHeight="1" x14ac:dyDescent="0.3">
      <c r="A58" s="524"/>
      <c r="B58" s="741"/>
      <c r="C58" s="759"/>
      <c r="D58" s="508" t="s">
        <v>140</v>
      </c>
      <c r="E58" s="742" t="str">
        <f>IF(VLOOKUP(CONCATENATE($C$2,"-",$D58),Languages!$A:$D,1,TRUE)=CONCATENATE($C$2,"-",$D58),VLOOKUP(CONCATENATE($C$2,"-",$D58),Languages!$A:$D,Kybermittari!$C$7,TRUE),NA())</f>
        <v>Muutostenhallinnan lokitiedot sisältävät muutokset, jotka vaikuttavat suojattavien kohteiden kyberturvallisuusvaatimuksiin (saatavuus, eheys, luottamuksellisuus).</v>
      </c>
      <c r="F58" s="742"/>
      <c r="G58" s="742"/>
      <c r="H58" s="493">
        <f>IFERROR(INT(LEFT($I58,1)),0)</f>
        <v>0</v>
      </c>
      <c r="I58" s="54"/>
      <c r="J58" s="527"/>
      <c r="K58" s="509"/>
      <c r="L58" s="524"/>
      <c r="M58" s="545"/>
      <c r="N58" s="524"/>
      <c r="O58" s="495"/>
      <c r="P58" s="495"/>
    </row>
    <row r="59" spans="1:16" s="343" customFormat="1" ht="30" customHeight="1" x14ac:dyDescent="0.25">
      <c r="A59" s="332"/>
      <c r="B59" s="461"/>
      <c r="C59" s="336">
        <v>5</v>
      </c>
      <c r="D59" s="336" t="str">
        <f>IF(VLOOKUP(CONCATENATE($C$2,"-",C59),Languages!$A:$D,1,TRUE)=CONCATENATE($C$2,"-",C59),VLOOKUP(CONCATENATE($C$2,"-",C59),Languages!$A:$D,Kybermittari!$C$7,TRUE),NA())</f>
        <v>Yleisiä hallintatoimia</v>
      </c>
      <c r="E59" s="336"/>
      <c r="F59" s="506"/>
      <c r="G59" s="506"/>
      <c r="H59" s="506"/>
      <c r="I59" s="506" t="s">
        <v>19</v>
      </c>
      <c r="J59" s="507"/>
      <c r="K59" s="339"/>
      <c r="L59" s="347"/>
      <c r="M59" s="533"/>
      <c r="N59" s="347"/>
      <c r="O59" s="341"/>
      <c r="P59" s="341"/>
    </row>
    <row r="60" spans="1:16" s="475" customFormat="1" ht="50" customHeight="1" x14ac:dyDescent="0.3">
      <c r="A60" s="524"/>
      <c r="B60" s="525"/>
      <c r="C60" s="745" t="str">
        <f>IF(VLOOKUP(CONCATENATE($C$2,"-",$C59,"-0"),Languages!$A:$D,1,TRUE)=CONCATENATE($C$2,"-",$C59,"-0"),VLOOKUP(CONCATENATE($C$2,"-",$C59,"-0"),Languages!$A:$D,Kybermittari!$C$7,TRUE),NA())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60" s="745"/>
      <c r="E60" s="745"/>
      <c r="F60" s="745"/>
      <c r="G60" s="745"/>
      <c r="H60" s="745"/>
      <c r="I60" s="745"/>
      <c r="J60" s="745"/>
      <c r="K60" s="471"/>
      <c r="L60" s="524"/>
      <c r="M60" s="545"/>
      <c r="N60" s="524"/>
      <c r="O60" s="473"/>
      <c r="P60" s="473"/>
    </row>
    <row r="61" spans="1:16" s="486" customFormat="1" ht="20" customHeight="1" x14ac:dyDescent="0.3">
      <c r="A61" s="523"/>
      <c r="B61" s="476"/>
      <c r="C61" s="477" t="str">
        <f>IF(VLOOKUP("GEN-LEVEL",Languages!$A:$D,1,TRUE)="GEN-LEVEL",VLOOKUP("GEN-LEVEL",Languages!$A:$D,Kybermittari!$C$7,TRUE),NA())</f>
        <v>Taso</v>
      </c>
      <c r="D61" s="477"/>
      <c r="E61" s="478" t="str">
        <f>IF(VLOOKUP("GEN-PRACTICE",Languages!$A:$D,1,TRUE)="GEN-PRACTICE",VLOOKUP("GEN-PRACTICE",Languages!$A:$D,Kybermittari!$C$7,TRUE),NA())</f>
        <v>Käytäntö</v>
      </c>
      <c r="F61" s="479"/>
      <c r="G61" s="480"/>
      <c r="H61" s="481"/>
      <c r="I61" s="478" t="str">
        <f>IF(VLOOKUP("GEN-ANSWER",Languages!$A:$D,1,TRUE)="GEN-ANSWER",VLOOKUP("GEN-ANSWER",Languages!$A:$D,Kybermittari!$C$7,TRUE),NA())</f>
        <v>Vastaus</v>
      </c>
      <c r="J61" s="480" t="str">
        <f>IF(VLOOKUP("GEN-COMMENT",Languages!$A:$D,1,TRUE)="GEN-COMMENT",VLOOKUP("GEN-COMMENT",Languages!$A:$D,Kybermittari!$C$7,TRUE),NA())</f>
        <v>Kommentti ja viittaukset</v>
      </c>
      <c r="K61" s="482"/>
      <c r="L61" s="524"/>
      <c r="M61" s="545"/>
      <c r="N61" s="524"/>
      <c r="O61" s="484"/>
      <c r="P61" s="484"/>
    </row>
    <row r="62" spans="1:16" s="486" customFormat="1" ht="10" customHeight="1" x14ac:dyDescent="0.3">
      <c r="A62" s="523"/>
      <c r="B62" s="476"/>
      <c r="C62" s="487"/>
      <c r="D62" s="487"/>
      <c r="E62" s="488"/>
      <c r="F62" s="489"/>
      <c r="G62" s="490"/>
      <c r="H62" s="491"/>
      <c r="I62" s="488"/>
      <c r="J62" s="490"/>
      <c r="K62" s="482"/>
      <c r="L62" s="524"/>
      <c r="M62" s="545"/>
      <c r="N62" s="524"/>
      <c r="O62" s="484"/>
      <c r="P62" s="484"/>
    </row>
    <row r="63" spans="1:16" s="486" customFormat="1" ht="20" customHeight="1" x14ac:dyDescent="0.3">
      <c r="A63" s="523"/>
      <c r="B63" s="476"/>
      <c r="C63" s="721">
        <v>1</v>
      </c>
      <c r="D63" s="558"/>
      <c r="E63" s="723"/>
      <c r="F63" s="560"/>
      <c r="G63" s="561"/>
      <c r="H63" s="562"/>
      <c r="I63" s="723"/>
      <c r="J63" s="563"/>
      <c r="K63" s="482"/>
      <c r="L63" s="524"/>
      <c r="M63" s="545"/>
      <c r="N63" s="524"/>
      <c r="O63" s="484"/>
      <c r="P63" s="484"/>
    </row>
    <row r="64" spans="1:16" s="486" customFormat="1" ht="10" customHeight="1" x14ac:dyDescent="0.3">
      <c r="A64" s="523"/>
      <c r="B64" s="476"/>
      <c r="C64" s="487"/>
      <c r="D64" s="487"/>
      <c r="E64" s="488"/>
      <c r="F64" s="489"/>
      <c r="G64" s="490"/>
      <c r="H64" s="491"/>
      <c r="I64" s="488"/>
      <c r="J64" s="490"/>
      <c r="K64" s="482"/>
      <c r="L64" s="524"/>
      <c r="M64" s="545"/>
      <c r="N64" s="524"/>
      <c r="O64" s="484"/>
      <c r="P64" s="484"/>
    </row>
    <row r="65" spans="1:16" s="510" customFormat="1" ht="35" customHeight="1" x14ac:dyDescent="0.3">
      <c r="A65" s="524"/>
      <c r="B65" s="741"/>
      <c r="C65" s="757">
        <v>2</v>
      </c>
      <c r="D65" s="508" t="s">
        <v>143</v>
      </c>
      <c r="E65" s="742" t="str">
        <f>IF(VLOOKUP(CONCATENATE($C$2,"-",$D65),Languages!$A:$D,1,TRUE)=CONCATENATE($C$2,"-",$D65),VLOOKUP(CONCATENATE($C$2,"-",$D65),Languages!$A:$D,Kybermittari!$C$7,TRUE),NA())</f>
        <v>Omaisuuden, muutoksen ja konfiguraation hallinnan (ASSET) osioon liittyen on määritetty dokumentoidut käytännöt, joita noudatetaan ja pidetään yllä.</v>
      </c>
      <c r="F65" s="742"/>
      <c r="G65" s="742"/>
      <c r="H65" s="493">
        <f>IFERROR(INT(LEFT($I65,1)),0)</f>
        <v>0</v>
      </c>
      <c r="I65" s="54"/>
      <c r="J65" s="527"/>
      <c r="K65" s="509"/>
      <c r="L65" s="524"/>
      <c r="M65" s="545"/>
      <c r="N65" s="524"/>
      <c r="O65" s="495"/>
      <c r="P65" s="495"/>
    </row>
    <row r="66" spans="1:16" s="510" customFormat="1" ht="35" customHeight="1" x14ac:dyDescent="0.3">
      <c r="A66" s="524"/>
      <c r="B66" s="741"/>
      <c r="C66" s="758"/>
      <c r="D66" s="508" t="s">
        <v>146</v>
      </c>
      <c r="E66" s="742" t="str">
        <f>IF(VLOOKUP(CONCATENATE($C$2,"-",$D66),Languages!$A:$D,1,TRUE)=CONCATENATE($C$2,"-",$D66),VLOOKUP(CONCATENATE($C$2,"-",$D66),Languages!$A:$D,Kybermittari!$C$7,TRUE),NA())</f>
        <v>Omaisuuden, muutoksen ja konfiguraation hallinnan (ASSET) osion toimintaan on saatavilla riittävät resurssit (henkilöstö, rahoitus ja työkalut).</v>
      </c>
      <c r="F66" s="742"/>
      <c r="G66" s="742"/>
      <c r="H66" s="493">
        <f>IFERROR(INT(LEFT($I66,1)),0)</f>
        <v>0</v>
      </c>
      <c r="I66" s="54"/>
      <c r="J66" s="527"/>
      <c r="K66" s="509"/>
      <c r="L66" s="524"/>
      <c r="M66" s="545"/>
      <c r="N66" s="524"/>
      <c r="O66" s="495"/>
      <c r="P66" s="495"/>
    </row>
    <row r="67" spans="1:16" s="510" customFormat="1" ht="47" customHeight="1" x14ac:dyDescent="0.3">
      <c r="A67" s="524"/>
      <c r="B67" s="741"/>
      <c r="C67" s="758"/>
      <c r="D67" s="508" t="s">
        <v>149</v>
      </c>
      <c r="E67" s="742" t="str">
        <f>IF(VLOOKUP(CONCATENATE($C$2,"-",$D67),Languages!$A:$D,1,TRUE)=CONCATENATE($C$2,"-",$D67),VLOOKUP(CONCATENATE($C$2,"-",$D67),Languages!$A:$D,Kybermittari!$C$7,TRUE),NA())</f>
        <v>Omaisuuden, muutoksen ja konfiguraation hallinnan (ASSET) osion toimintaa suorittavilla työntekijöillä on riittävät tiedot ja taidot tehtäviensä suorittamiseen.</v>
      </c>
      <c r="F67" s="742"/>
      <c r="G67" s="742"/>
      <c r="H67" s="493">
        <f>IFERROR(INT(LEFT($I67,1)),0)</f>
        <v>0</v>
      </c>
      <c r="I67" s="54"/>
      <c r="J67" s="527"/>
      <c r="K67" s="509"/>
      <c r="L67" s="524"/>
      <c r="M67" s="545"/>
      <c r="N67" s="524"/>
      <c r="O67" s="495"/>
      <c r="P67" s="495"/>
    </row>
    <row r="68" spans="1:16" s="510" customFormat="1" ht="47" customHeight="1" x14ac:dyDescent="0.25">
      <c r="A68" s="524"/>
      <c r="B68" s="741"/>
      <c r="C68" s="759"/>
      <c r="D68" s="508" t="s">
        <v>152</v>
      </c>
      <c r="E68" s="742" t="str">
        <f>IF(VLOOKUP(CONCATENATE($C$2,"-",$D68),Languages!$A:$D,1,TRUE)=CONCATENATE($C$2,"-",$D68),VLOOKUP(CONCATENATE($C$2,"-",$D68),Languages!$A:$D,Kybermittari!$C$7,TRUE),NA())</f>
        <v>Omaisuuden, muutoksen ja konfiguraation hallinnan (ASSET) osion toiminnan suorittamiseen liittyvät vastuut ja valtuudet on osoitettu nimetyille työntekijöille.</v>
      </c>
      <c r="F68" s="742"/>
      <c r="G68" s="742"/>
      <c r="H68" s="493">
        <f>IFERROR(INT(LEFT($I68,1)),0)</f>
        <v>0</v>
      </c>
      <c r="I68" s="54"/>
      <c r="J68" s="527"/>
      <c r="K68" s="509"/>
      <c r="L68" s="524"/>
      <c r="M68" s="637"/>
      <c r="N68" s="524"/>
      <c r="O68" s="495"/>
      <c r="P68" s="495"/>
    </row>
    <row r="69" spans="1:16" s="510" customFormat="1" ht="10" customHeight="1" x14ac:dyDescent="0.25">
      <c r="A69" s="524"/>
      <c r="B69" s="720"/>
      <c r="C69" s="565"/>
      <c r="D69" s="513"/>
      <c r="E69" s="501"/>
      <c r="F69" s="501"/>
      <c r="G69" s="501"/>
      <c r="H69" s="499"/>
      <c r="I69" s="502"/>
      <c r="J69" s="514"/>
      <c r="K69" s="509"/>
      <c r="L69" s="524"/>
      <c r="M69" s="637"/>
      <c r="N69" s="524"/>
      <c r="O69" s="495"/>
      <c r="P69" s="495"/>
    </row>
    <row r="70" spans="1:16" s="510" customFormat="1" ht="60" customHeight="1" x14ac:dyDescent="0.25">
      <c r="A70" s="524"/>
      <c r="B70" s="741"/>
      <c r="C70" s="757">
        <v>3</v>
      </c>
      <c r="D70" s="508" t="s">
        <v>154</v>
      </c>
      <c r="E70" s="742" t="str">
        <f>IF(VLOOKUP(CONCATENATE($C$2,"-",$D70),Languages!$A:$D,1,TRUE)=CONCATENATE($C$2,"-",$D70),VLOOKUP(CONCATENATE($C$2,"-",$D70),Languages!$A:$D,Kybermittari!$C$7,TRUE),NA())</f>
        <v>Omaisuuden, muutoksen ja konfiguraation hallinnan (ASSET) osion toiminta perustuu organisaation määrittämään ja ylläpitämään johtotason politiikkaan (tai vastaavaan ohjeistukseen), jossa asetetaan nimenomaisia vaatimuksia tämän osion toiminnalle.</v>
      </c>
      <c r="F70" s="742"/>
      <c r="G70" s="742"/>
      <c r="H70" s="493">
        <f>IFERROR(INT(LEFT($I70,1)),0)</f>
        <v>0</v>
      </c>
      <c r="I70" s="54"/>
      <c r="J70" s="527"/>
      <c r="K70" s="509"/>
      <c r="L70" s="524"/>
      <c r="M70" s="637"/>
      <c r="N70" s="524"/>
      <c r="O70" s="495"/>
      <c r="P70" s="495"/>
    </row>
    <row r="71" spans="1:16" s="510" customFormat="1" ht="47" customHeight="1" x14ac:dyDescent="0.25">
      <c r="A71" s="524"/>
      <c r="B71" s="741"/>
      <c r="C71" s="758"/>
      <c r="D71" s="508" t="s">
        <v>156</v>
      </c>
      <c r="E71" s="742" t="str">
        <f>IF(VLOOKUP(CONCATENATE($C$2,"-",$D71),Languages!$A:$D,1,TRUE)=CONCATENATE($C$2,"-",$D71),VLOOKUP(CONCATENATE($C$2,"-",$D71),Languages!$A:$D,Kybermittari!$C$7,TRUE),NA())</f>
        <v>Omaisuuden, muutoksen ja konfiguraation hallinnan (ASSET) osion toiminnalle on määritetty suoriutumistavoitteet, joiden toteutumista seurataan [kts. PROGRAM-1b].</v>
      </c>
      <c r="F71" s="742"/>
      <c r="G71" s="742"/>
      <c r="H71" s="493">
        <f>IFERROR(INT(LEFT($I71,1)),0)</f>
        <v>0</v>
      </c>
      <c r="I71" s="54"/>
      <c r="J71" s="527"/>
      <c r="K71" s="509"/>
      <c r="L71" s="524"/>
      <c r="M71" s="637"/>
      <c r="N71" s="524"/>
      <c r="O71" s="495"/>
      <c r="P71" s="495"/>
    </row>
    <row r="72" spans="1:16" s="510" customFormat="1" ht="47" customHeight="1" x14ac:dyDescent="0.25">
      <c r="A72" s="524"/>
      <c r="B72" s="741"/>
      <c r="C72" s="759"/>
      <c r="D72" s="508" t="s">
        <v>159</v>
      </c>
      <c r="E72" s="742" t="str">
        <f>IF(VLOOKUP(CONCATENATE($C$2,"-",$D72),Languages!$A:$D,1,TRUE)=CONCATENATE($C$2,"-",$D72),VLOOKUP(CONCATENATE($C$2,"-",$D72),Languages!$A:$D,Kybermittari!$C$7,TRUE),NA())</f>
        <v>Omaisuuden, muutoksen ja konfiguraation hallinnan (ASSET) osioon liittyvät käytännöt on standardoitu läpi koko organisaation ja niitä kehitetään aktiivisesti.</v>
      </c>
      <c r="F72" s="742"/>
      <c r="G72" s="742"/>
      <c r="H72" s="493">
        <f>IFERROR(INT(LEFT($I72,1)),0)</f>
        <v>0</v>
      </c>
      <c r="I72" s="54"/>
      <c r="J72" s="527"/>
      <c r="K72" s="509"/>
      <c r="L72" s="524"/>
      <c r="M72" s="637"/>
      <c r="N72" s="524"/>
      <c r="O72" s="495"/>
      <c r="P72" s="495"/>
    </row>
    <row r="73" spans="1:16" x14ac:dyDescent="0.25">
      <c r="A73" s="347"/>
      <c r="B73" s="619"/>
      <c r="C73" s="620"/>
      <c r="D73" s="621"/>
      <c r="E73" s="622"/>
      <c r="F73" s="622"/>
      <c r="G73" s="622"/>
      <c r="H73" s="623"/>
      <c r="I73" s="624"/>
      <c r="J73" s="625"/>
      <c r="K73" s="626"/>
      <c r="L73" s="347"/>
      <c r="M73" s="638"/>
      <c r="N73" s="347"/>
    </row>
    <row r="74" spans="1:16" x14ac:dyDescent="0.25">
      <c r="A74" s="347"/>
      <c r="B74" s="347"/>
      <c r="C74" s="347"/>
      <c r="D74" s="347"/>
      <c r="E74" s="347"/>
      <c r="F74" s="347"/>
      <c r="G74" s="347"/>
      <c r="H74" s="627"/>
      <c r="I74" s="347"/>
      <c r="J74" s="347"/>
      <c r="K74" s="347"/>
      <c r="L74" s="347"/>
      <c r="M74" s="638"/>
      <c r="N74" s="347"/>
    </row>
  </sheetData>
  <sheetProtection sheet="1" objects="1" scenarios="1"/>
  <mergeCells count="58">
    <mergeCell ref="C48:J48"/>
    <mergeCell ref="E51:G51"/>
    <mergeCell ref="E52:G52"/>
    <mergeCell ref="C5:J5"/>
    <mergeCell ref="C39:C40"/>
    <mergeCell ref="C51:C52"/>
    <mergeCell ref="C24:J24"/>
    <mergeCell ref="C36:J36"/>
    <mergeCell ref="C12:J12"/>
    <mergeCell ref="B70:B72"/>
    <mergeCell ref="C70:C72"/>
    <mergeCell ref="E70:G70"/>
    <mergeCell ref="E71:G71"/>
    <mergeCell ref="E72:G72"/>
    <mergeCell ref="B39:B40"/>
    <mergeCell ref="E39:G39"/>
    <mergeCell ref="E40:G40"/>
    <mergeCell ref="B42:B46"/>
    <mergeCell ref="E42:G42"/>
    <mergeCell ref="C44:C46"/>
    <mergeCell ref="E44:G44"/>
    <mergeCell ref="E45:G45"/>
    <mergeCell ref="E46:G46"/>
    <mergeCell ref="B51:B52"/>
    <mergeCell ref="C60:J60"/>
    <mergeCell ref="B65:B68"/>
    <mergeCell ref="C65:C68"/>
    <mergeCell ref="E65:G65"/>
    <mergeCell ref="E66:G66"/>
    <mergeCell ref="E67:G67"/>
    <mergeCell ref="E68:G68"/>
    <mergeCell ref="B54:B58"/>
    <mergeCell ref="E54:G54"/>
    <mergeCell ref="E55:G55"/>
    <mergeCell ref="E57:G57"/>
    <mergeCell ref="E58:G58"/>
    <mergeCell ref="C57:C58"/>
    <mergeCell ref="C54:C55"/>
    <mergeCell ref="B27:B29"/>
    <mergeCell ref="E27:G27"/>
    <mergeCell ref="E29:G29"/>
    <mergeCell ref="B30:B34"/>
    <mergeCell ref="E30:G30"/>
    <mergeCell ref="E32:G32"/>
    <mergeCell ref="E34:G34"/>
    <mergeCell ref="C29:C30"/>
    <mergeCell ref="C32:C34"/>
    <mergeCell ref="E33:G33"/>
    <mergeCell ref="B18:B22"/>
    <mergeCell ref="E18:G18"/>
    <mergeCell ref="E20:G20"/>
    <mergeCell ref="E21:G21"/>
    <mergeCell ref="E22:G22"/>
    <mergeCell ref="C17:C18"/>
    <mergeCell ref="C20:C22"/>
    <mergeCell ref="B15:B17"/>
    <mergeCell ref="E15:G15"/>
    <mergeCell ref="E17:G17"/>
  </mergeCells>
  <conditionalFormatting sqref="H1:H1048576">
    <cfRule type="containsText" dxfId="61" priority="5"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79FD6B73-7264-4789-BE5C-31E7DF7E0E3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I15 I17:I18 I20:I22 I27 I29:I30 I32:I34 I39:I40 I42 I44:I46 I51:I52 I54:I55 I57:I58 I65:I68 I70:I72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64</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Identiteetin- ja pääsynhallinta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5" customHeight="1" x14ac:dyDescent="0.25">
      <c r="A5" s="344"/>
      <c r="B5" s="532"/>
      <c r="C5" s="750" t="str">
        <f>IF(VLOOKUP(CONCATENATE(C2,"-0"),Languages!$A:$D,1,TRUE)=CONCATENATE(C2,"-0"),VLOOKUP(CONCATENATE(C2,"-0"),Languages!$A:$D,Kybermittari!$C$7,TRUE),NA())</f>
        <v>Identiteetin ja pääsynhallinnan osiossa arvioidaan organisaation kykyä hallita ja rajoittaa pääsyä suojattaviin kohteisiin. Organisaation tulee luoda ja ylläpitää identiteettejä toimijoille, joille halutaan myöntää pääsy fyysisesti tai verkon yli organisaation suojattaviin kohteisiin. Organisaation tulee hallita käyttöoikeuksia suojattaviin kohteisiin suhteessa sekä niihin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Identiteettien hallinta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Käyttöoikeuksien hallinta</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Identiteettien hallinta</v>
      </c>
      <c r="E9" s="336"/>
      <c r="F9" s="463"/>
      <c r="G9" s="463"/>
      <c r="H9" s="464"/>
      <c r="I9" s="464"/>
      <c r="J9" s="465"/>
      <c r="K9" s="466"/>
      <c r="L9" s="344"/>
      <c r="M9" s="533"/>
      <c r="N9" s="344"/>
      <c r="O9" s="341"/>
      <c r="P9" s="341"/>
    </row>
    <row r="10" spans="1:16" s="475" customFormat="1" ht="58" customHeight="1" x14ac:dyDescent="0.3">
      <c r="A10" s="469"/>
      <c r="B10" s="470"/>
      <c r="C10" s="745" t="str">
        <f>IF(VLOOKUP(CONCATENATE($C$2,"-",$C9,"-0"),Languages!$A:$D,1,TRUE)=CONCATENATE($C$2,"-",$C9,"-0"),VLOOKUP(CONCATENATE($C$2,"-",$C9,"-0"),Languages!$A:$D,Kybermittari!$C$7,TRUE),NA())</f>
        <v>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v>
      </c>
      <c r="D10" s="745"/>
      <c r="E10" s="745"/>
      <c r="F10" s="745"/>
      <c r="G10" s="745"/>
      <c r="H10" s="745"/>
      <c r="I10" s="745"/>
      <c r="J10" s="745"/>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63" customHeight="1" x14ac:dyDescent="0.3">
      <c r="A13" s="469"/>
      <c r="B13" s="749"/>
      <c r="C13" s="761">
        <v>1</v>
      </c>
      <c r="D13" s="492" t="s">
        <v>7</v>
      </c>
      <c r="E13" s="742" t="str">
        <f>IF(VLOOKUP(CONCATENATE($C$2,"-",$D13),Languages!$A:$D,1,TRUE)=CONCATENATE($C$2,"-",$D13),VLOOKUP(CONCATENATE($C$2,"-",$D13),Languages!$A:$D,Kybermittari!$C$7,TRUE),NA())</f>
        <v>Niille henkilöille ja muille toimijoille (kuten laitteille, järjestelmille tai prosesseille), jotka tarvitsevat pääsyn suojattaviin kohteisiin luodaan identiteetit - ainakin tapauskohtaisesti. (Huom. tämä vaatimus ei estä jaettujen identiteettien käyttöä).</v>
      </c>
      <c r="F13" s="742"/>
      <c r="G13" s="742"/>
      <c r="H13" s="493">
        <f t="shared" ref="H13" si="0">IFERROR(INT(LEFT($I13,1)),0)</f>
        <v>0</v>
      </c>
      <c r="I13" s="54"/>
      <c r="J13" s="526"/>
      <c r="K13" s="494"/>
      <c r="L13" s="483"/>
      <c r="M13" s="545"/>
      <c r="N13" s="483"/>
    </row>
    <row r="14" spans="1:16" s="495" customFormat="1" ht="44" customHeight="1" x14ac:dyDescent="0.3">
      <c r="A14" s="469"/>
      <c r="B14" s="749"/>
      <c r="C14" s="761"/>
      <c r="D14" s="492" t="s">
        <v>9</v>
      </c>
      <c r="E14" s="742" t="str">
        <f>IF(VLOOKUP(CONCATENATE($C$2,"-",$D14),Languages!$A:$D,1,TRUE)=CONCATENATE($C$2,"-",$D14),VLOOKUP(CONCATENATE($C$2,"-",$D14),Languages!$A:$D,Kybermittari!$C$7,TRUE),NA())</f>
        <v>Niille henkilöille ja toimijoille, jotka tarvitsevat pääsyn suojattaviin kohteisiin jaetaan pääsyvaltuustiedot (kuten salasanat, sertifikaatit, älykorit, avaimet, tunnusluvut tai vastaavat) - ainakin tapauskohtaisesti.</v>
      </c>
      <c r="F14" s="742"/>
      <c r="G14" s="742"/>
      <c r="H14" s="493">
        <f>IFERROR(INT(LEFT($I14,1)),0)</f>
        <v>0</v>
      </c>
      <c r="I14" s="54"/>
      <c r="J14" s="526"/>
      <c r="K14" s="494"/>
      <c r="L14" s="483"/>
      <c r="M14" s="545"/>
      <c r="N14" s="483"/>
    </row>
    <row r="15" spans="1:16" s="495" customFormat="1" ht="35" customHeight="1" x14ac:dyDescent="0.3">
      <c r="A15" s="469"/>
      <c r="B15" s="749"/>
      <c r="C15" s="761"/>
      <c r="D15" s="492" t="s">
        <v>10</v>
      </c>
      <c r="E15" s="742" t="str">
        <f>IF(VLOOKUP(CONCATENATE($C$2,"-",$D15),Languages!$A:$D,1,TRUE)=CONCATENATE($C$2,"-",$D15),VLOOKUP(CONCATENATE($C$2,"-",$D15),Languages!$A:$D,Kybermittari!$C$7,TRUE),NA())</f>
        <v>Kun identiteettejä ei enää tarvita, ne poistetaan käytöstä ("deprovision") - ainakin tapauskohtaisesti.</v>
      </c>
      <c r="F15" s="742"/>
      <c r="G15" s="742"/>
      <c r="H15" s="493">
        <f>IFERROR(INT(LEFT($I15,1)),0)</f>
        <v>0</v>
      </c>
      <c r="I15" s="54"/>
      <c r="J15" s="526"/>
      <c r="K15" s="494"/>
      <c r="L15" s="469"/>
      <c r="M15" s="545"/>
      <c r="N15" s="469"/>
    </row>
    <row r="16" spans="1:16" s="495" customFormat="1" ht="10" customHeight="1" x14ac:dyDescent="0.3">
      <c r="A16" s="469"/>
      <c r="B16" s="749"/>
      <c r="C16" s="498"/>
      <c r="D16" s="499"/>
      <c r="E16" s="501"/>
      <c r="F16" s="501"/>
      <c r="G16" s="501"/>
      <c r="H16" s="499"/>
      <c r="I16" s="502"/>
      <c r="J16" s="502"/>
      <c r="K16" s="494"/>
      <c r="L16" s="469"/>
      <c r="M16" s="545"/>
      <c r="N16" s="469"/>
    </row>
    <row r="17" spans="1:16" s="495" customFormat="1" ht="46.5" customHeight="1" x14ac:dyDescent="0.3">
      <c r="A17" s="469"/>
      <c r="B17" s="749"/>
      <c r="C17" s="762">
        <v>2</v>
      </c>
      <c r="D17" s="492" t="s">
        <v>11</v>
      </c>
      <c r="E17" s="748" t="str">
        <f>IF(VLOOKUP(CONCATENATE($C$2,"-",$D17),Languages!$A:$D,1,TRUE)=CONCATENATE($C$2,"-",$D17),VLOOKUP(CONCATENATE($C$2,"-",$D17),Languages!$A:$D,Kybermittari!$C$7,TRUE),NA())</f>
        <v>Identiteettirekisterit katselmoidaan ja päivitetään ajantasaiseksi organisaation määrittelemin aikavälein.</v>
      </c>
      <c r="F17" s="748"/>
      <c r="G17" s="748"/>
      <c r="H17" s="493">
        <f>IFERROR(INT(LEFT($I17,1)),0)</f>
        <v>0</v>
      </c>
      <c r="I17" s="54"/>
      <c r="J17" s="526"/>
      <c r="K17" s="494"/>
      <c r="L17" s="469"/>
      <c r="M17" s="545"/>
      <c r="N17" s="469"/>
    </row>
    <row r="18" spans="1:16" s="495" customFormat="1" ht="46.5" customHeight="1" x14ac:dyDescent="0.3">
      <c r="A18" s="469"/>
      <c r="B18" s="749"/>
      <c r="C18" s="763"/>
      <c r="D18" s="503" t="s">
        <v>12</v>
      </c>
      <c r="E18" s="748" t="str">
        <f>IF(VLOOKUP(CONCATENATE($C$2,"-",$D18),Languages!$A:$D,1,TRUE)=CONCATENATE($C$2,"-",$D18),VLOOKUP(CONCATENATE($C$2,"-",$D18),Languages!$A:$D,Kybermittari!$C$7,TRUE),NA())</f>
        <v>Pääsyvaltuustiedot ("credentials") katselmoidaan säännöllisesti ja tarkistetaan, että ne on myönnetty oikeille henkilöille tai muille toimijoille (kuten laitteille, järjestelmille tai prosesseille).</v>
      </c>
      <c r="F18" s="748"/>
      <c r="G18" s="748"/>
      <c r="H18" s="493">
        <f>IFERROR(INT(LEFT($I18,1)),0)</f>
        <v>0</v>
      </c>
      <c r="I18" s="54"/>
      <c r="J18" s="527"/>
      <c r="K18" s="504"/>
      <c r="L18" s="549"/>
      <c r="M18" s="545"/>
      <c r="N18" s="549"/>
    </row>
    <row r="19" spans="1:16" s="495" customFormat="1" ht="35" customHeight="1" x14ac:dyDescent="0.3">
      <c r="A19" s="469"/>
      <c r="B19" s="749"/>
      <c r="C19" s="764"/>
      <c r="D19" s="503" t="s">
        <v>13</v>
      </c>
      <c r="E19" s="748" t="str">
        <f>IF(VLOOKUP(CONCATENATE($C$2,"-",$D19),Languages!$A:$D,1,TRUE)=CONCATENATE($C$2,"-",$D19),VLOOKUP(CONCATENATE($C$2,"-",$D19),Languages!$A:$D,Kybermittari!$C$7,TRUE),NA())</f>
        <v>Kun identiteettejä ei enää tarvita, ne poistetaan käytöstä ("deprovision") vähintään organisaation määrittelemien enimmäismääräaikojen sisällä.</v>
      </c>
      <c r="F19" s="748"/>
      <c r="G19" s="748"/>
      <c r="H19" s="493">
        <f>IFERROR(INT(LEFT($I19,1)),0)</f>
        <v>0</v>
      </c>
      <c r="I19" s="54"/>
      <c r="J19" s="527"/>
      <c r="K19" s="504"/>
      <c r="L19" s="469"/>
      <c r="M19" s="545"/>
      <c r="N19" s="469"/>
    </row>
    <row r="20" spans="1:16" s="495" customFormat="1" ht="10" customHeight="1" x14ac:dyDescent="0.3">
      <c r="A20" s="469"/>
      <c r="B20" s="613"/>
      <c r="C20" s="498"/>
      <c r="D20" s="614"/>
      <c r="E20" s="615"/>
      <c r="F20" s="615"/>
      <c r="G20" s="615"/>
      <c r="H20" s="499"/>
      <c r="I20" s="502"/>
      <c r="J20" s="514"/>
      <c r="K20" s="504"/>
      <c r="L20" s="469"/>
      <c r="M20" s="545"/>
      <c r="N20" s="469"/>
    </row>
    <row r="21" spans="1:16" s="495" customFormat="1" ht="60.5" customHeight="1" x14ac:dyDescent="0.3">
      <c r="A21" s="469"/>
      <c r="B21" s="616"/>
      <c r="C21" s="617">
        <v>3</v>
      </c>
      <c r="D21" s="503" t="s">
        <v>14</v>
      </c>
      <c r="E21" s="748" t="str">
        <f>IF(VLOOKUP(CONCATENATE($C$2,"-",$D21),Languages!$A:$D,1,TRUE)=CONCATENATE($C$2,"-",$D21),VLOOKUP(CONCATENATE($C$2,"-",$D21),Languages!$A:$D,Kybermittari!$C$7,TRUE),NA())</f>
        <v>Pääsyvaltuustiedoille on asetettu riskiperusteiset vaatimukset (esim. vahvasta tunnistautumisesta korkean riskin kohteisiin) [kts. RISK-2b]. Vaatimuksissa on huomioitu myös kyberarkkitehtuurin asettamat vaatimukset (esim. tunnistautumisvaatimukset eri turvavyöhykkeille) [kts. ARCHITECTURE-2b].</v>
      </c>
      <c r="F21" s="748"/>
      <c r="G21" s="748"/>
      <c r="H21" s="493">
        <f>IFERROR(INT(LEFT($I21,1)),0)</f>
        <v>0</v>
      </c>
      <c r="I21" s="54"/>
      <c r="J21" s="527"/>
      <c r="K21" s="50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Käyttöoikeuksien hallinta</v>
      </c>
      <c r="E22" s="336"/>
      <c r="F22" s="506"/>
      <c r="G22" s="506"/>
      <c r="H22" s="506"/>
      <c r="I22" s="506" t="s">
        <v>19</v>
      </c>
      <c r="J22" s="507"/>
      <c r="K22" s="339"/>
      <c r="L22" s="347"/>
      <c r="M22" s="533"/>
      <c r="N22" s="347"/>
      <c r="O22" s="341"/>
      <c r="P22" s="341"/>
    </row>
    <row r="23" spans="1:16" s="475" customFormat="1" ht="76" customHeight="1" x14ac:dyDescent="0.3">
      <c r="A23" s="469"/>
      <c r="B23" s="470"/>
      <c r="C23" s="745" t="str">
        <f>IF(VLOOKUP(CONCATENATE($C$2,"-",$C22,"-0"),Languages!$A:$D,1,TRUE)=CONCATENATE($C$2,"-",$C22,"-0"),VLOOKUP(CONCATENATE($C$2,"-",$C22,"-0"),Languages!$A:$D,Kybermittari!$C$7,TRUE),NA())</f>
        <v>Käyttöoikeuksien hallinta kattaa käyttöoikeusvaatimusten määrittelyn sekä oikeuksien myöntämisen ja käytöstä poiston asetettujen vaatimusten mukaisesti. Käyttöoikeusvaatimukset yhdistetään suojattaviin kohteisiin ja vaatimukset määräävät mm. minkä tyyppiset toimijat voivat saada pääsyn suojattavaan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v>
      </c>
      <c r="D23" s="745"/>
      <c r="E23" s="745"/>
      <c r="F23" s="745"/>
      <c r="G23" s="745"/>
      <c r="H23" s="745"/>
      <c r="I23" s="745"/>
      <c r="J23" s="745"/>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76" customHeight="1" x14ac:dyDescent="0.3">
      <c r="A26" s="524"/>
      <c r="B26" s="741"/>
      <c r="C26" s="760">
        <v>1</v>
      </c>
      <c r="D26" s="508" t="s">
        <v>20</v>
      </c>
      <c r="E26" s="742" t="str">
        <f>IF(VLOOKUP(CONCATENATE($C$2,"-",$D26),Languages!$A:$D,1,TRUE)=CONCATENATE($C$2,"-",$D26),VLOOKUP(CONCATENATE($C$2,"-",$D26),Languages!$A:$D,Kybermittari!$C$7,TRUE),NA())</f>
        <v>Organisaatio on asettanut käyttöoikeuksille vaatimuksia tai rajoituksia - ainakin tapauskohtaisesti (esim. siitä minkä tyyppiset toimijat voivat saada pääsyn suojattavaan kohteeseen, missä rajoissa pääsy sallitaan, rajoitetaanko etäyhteyksiä tai onko tunnistetiedoille kuten salasanoille asetettu tiettyjä vaatimuksia).</v>
      </c>
      <c r="F26" s="742"/>
      <c r="G26" s="742"/>
      <c r="H26" s="493">
        <f>IFERROR(INT(LEFT($I26,1)),0)</f>
        <v>0</v>
      </c>
      <c r="I26" s="54"/>
      <c r="J26" s="526"/>
      <c r="K26" s="509"/>
      <c r="L26" s="524"/>
      <c r="M26" s="545"/>
      <c r="N26" s="524"/>
      <c r="O26" s="495"/>
      <c r="P26" s="495"/>
    </row>
    <row r="27" spans="1:16" s="510" customFormat="1" ht="35" customHeight="1" x14ac:dyDescent="0.3">
      <c r="A27" s="524"/>
      <c r="B27" s="741"/>
      <c r="C27" s="760"/>
      <c r="D27" s="508" t="s">
        <v>21</v>
      </c>
      <c r="E27" s="742" t="str">
        <f>IF(VLOOKUP(CONCATENATE($C$2,"-",$D27),Languages!$A:$D,1,TRUE)=CONCATENATE($C$2,"-",$D27),VLOOKUP(CONCATENATE($C$2,"-",$D27),Languages!$A:$D,Kybermittari!$C$7,TRUE),NA())</f>
        <v>Asetettuja vaatimuksia noudatetaan, kun päätetään käyttöoikeuksien myöntämisestä eri identiteeteille - ainakin tapauskohtaisesti.</v>
      </c>
      <c r="F27" s="742"/>
      <c r="G27" s="742"/>
      <c r="H27" s="493">
        <f>IFERROR(INT(LEFT($I27,1)),0)</f>
        <v>0</v>
      </c>
      <c r="I27" s="54"/>
      <c r="J27" s="527"/>
      <c r="K27" s="509"/>
      <c r="L27" s="524"/>
      <c r="M27" s="545"/>
      <c r="N27" s="524"/>
      <c r="O27" s="495"/>
      <c r="P27" s="495"/>
    </row>
    <row r="28" spans="1:16" s="510" customFormat="1" ht="35" customHeight="1" x14ac:dyDescent="0.3">
      <c r="A28" s="524"/>
      <c r="B28" s="741"/>
      <c r="C28" s="760"/>
      <c r="D28" s="508" t="s">
        <v>22</v>
      </c>
      <c r="E28" s="742" t="str">
        <f>IF(VLOOKUP(CONCATENATE($C$2,"-",$D28),Languages!$A:$D,1,TRUE)=CONCATENATE($C$2,"-",$D28),VLOOKUP(CONCATENATE($C$2,"-",$D28),Languages!$A:$D,Kybermittari!$C$7,TRUE),NA())</f>
        <v>Kun käyttöoikeuksia ei enää tarvita, ne poistetaan käytöstä ("revoke") - ainakin tapauskohtaisesti.</v>
      </c>
      <c r="F28" s="742"/>
      <c r="G28" s="742"/>
      <c r="H28" s="493">
        <f>IFERROR(INT(LEFT($I28,1)),0)</f>
        <v>0</v>
      </c>
      <c r="I28" s="54"/>
      <c r="J28" s="527"/>
      <c r="K28" s="509"/>
      <c r="L28" s="524"/>
      <c r="M28" s="545"/>
      <c r="N28" s="524"/>
      <c r="O28" s="495"/>
      <c r="P28" s="495"/>
    </row>
    <row r="29" spans="1:16" s="510" customFormat="1" ht="10" customHeight="1" x14ac:dyDescent="0.3">
      <c r="A29" s="524"/>
      <c r="B29" s="741"/>
      <c r="C29" s="565"/>
      <c r="D29" s="513"/>
      <c r="E29" s="501"/>
      <c r="F29" s="501"/>
      <c r="G29" s="501"/>
      <c r="H29" s="499"/>
      <c r="I29" s="502"/>
      <c r="J29" s="514"/>
      <c r="K29" s="509"/>
      <c r="L29" s="524"/>
      <c r="M29" s="545"/>
      <c r="N29" s="524"/>
      <c r="O29" s="495"/>
      <c r="P29" s="495"/>
    </row>
    <row r="30" spans="1:16" s="510" customFormat="1" ht="35" customHeight="1" x14ac:dyDescent="0.3">
      <c r="A30" s="524"/>
      <c r="B30" s="741"/>
      <c r="C30" s="760">
        <v>2</v>
      </c>
      <c r="D30" s="508" t="s">
        <v>23</v>
      </c>
      <c r="E30" s="742" t="str">
        <f>IF(VLOOKUP(CONCATENATE($C$2,"-",$D30),Languages!$A:$D,1,TRUE)=CONCATENATE($C$2,"-",$D30),VLOOKUP(CONCATENATE($C$2,"-",$D30),Languages!$A:$D,Kybermittari!$C$7,TRUE),NA())</f>
        <v>Käyttöoikeusvaatimuksissa on huomioitu pienimmän valtuuden periaate ("least privilege") ja tehtävien eriyttämisen periaate ("separation of duties").</v>
      </c>
      <c r="F30" s="742"/>
      <c r="G30" s="742"/>
      <c r="H30" s="493">
        <f>IFERROR(INT(LEFT($I30,1)),0)</f>
        <v>0</v>
      </c>
      <c r="I30" s="54"/>
      <c r="J30" s="527"/>
      <c r="K30" s="509"/>
      <c r="L30" s="524"/>
      <c r="M30" s="545"/>
      <c r="N30" s="524"/>
      <c r="O30" s="495"/>
      <c r="P30" s="495"/>
    </row>
    <row r="31" spans="1:16" s="510" customFormat="1" ht="29.5" customHeight="1" x14ac:dyDescent="0.3">
      <c r="A31" s="524"/>
      <c r="B31" s="741"/>
      <c r="C31" s="760"/>
      <c r="D31" s="508" t="s">
        <v>24</v>
      </c>
      <c r="E31" s="742" t="str">
        <f>IF(VLOOKUP(CONCATENATE($C$2,"-",$D31),Languages!$A:$D,1,TRUE)=CONCATENATE($C$2,"-",$D31),VLOOKUP(CONCATENATE($C$2,"-",$D31),Languages!$A:$D,Kybermittari!$C$7,TRUE),NA())</f>
        <v>Suojattavan omaisuuden omistaja tarkistaa ja hyväksyy käyttöoikeuspyynnöt.</v>
      </c>
      <c r="F31" s="742"/>
      <c r="G31" s="742"/>
      <c r="H31" s="493">
        <f>IFERROR(INT(LEFT($I31,1)),0)</f>
        <v>0</v>
      </c>
      <c r="I31" s="54"/>
      <c r="J31" s="527"/>
      <c r="K31" s="509"/>
      <c r="L31" s="618"/>
      <c r="M31" s="545"/>
      <c r="N31" s="618"/>
      <c r="O31" s="495"/>
      <c r="P31" s="495"/>
    </row>
    <row r="32" spans="1:16" s="510" customFormat="1" ht="58" customHeight="1" x14ac:dyDescent="0.3">
      <c r="A32" s="524"/>
      <c r="B32" s="741"/>
      <c r="C32" s="760"/>
      <c r="D32" s="508" t="s">
        <v>112</v>
      </c>
      <c r="E32" s="742" t="str">
        <f>IF(VLOOKUP(CONCATENATE($C$2,"-",$D32),Languages!$A:$D,1,TRUE)=CONCATENATE($C$2,"-",$D32),VLOOKUP(CONCATENATE($C$2,"-",$D32),Languages!$A:$D,Kybermittari!$C$7,TRUE),NA())</f>
        <v>Root-oikeudet, järjestelmävalvojan oikeudet, hätäoikeudet ja jaetut tunnukset tarkistetaan ja hyväksytään tarkemmalla menettelyllä kuin normaalit oikeudet ja niiden käyttöä valvotaan tarkemmin.</v>
      </c>
      <c r="F32" s="742"/>
      <c r="G32" s="742"/>
      <c r="H32" s="493">
        <f>IFERROR(INT(LEFT($I32,1)),0)</f>
        <v>0</v>
      </c>
      <c r="I32" s="54"/>
      <c r="J32" s="527"/>
      <c r="K32" s="509"/>
      <c r="L32" s="524"/>
      <c r="M32" s="545"/>
      <c r="N32" s="524"/>
      <c r="O32" s="495"/>
      <c r="P32" s="495"/>
    </row>
    <row r="33" spans="1:16" s="510" customFormat="1" ht="10" customHeight="1" x14ac:dyDescent="0.3">
      <c r="A33" s="524"/>
      <c r="B33" s="741"/>
      <c r="C33" s="565"/>
      <c r="D33" s="513"/>
      <c r="E33" s="501"/>
      <c r="F33" s="501"/>
      <c r="G33" s="501"/>
      <c r="H33" s="499"/>
      <c r="I33" s="502"/>
      <c r="J33" s="514"/>
      <c r="K33" s="509"/>
      <c r="L33" s="524"/>
      <c r="M33" s="545"/>
      <c r="N33" s="524"/>
      <c r="O33" s="495"/>
      <c r="P33" s="495"/>
    </row>
    <row r="34" spans="1:16" s="510" customFormat="1" ht="47" customHeight="1" x14ac:dyDescent="0.3">
      <c r="A34" s="524"/>
      <c r="B34" s="741"/>
      <c r="C34" s="760">
        <v>3</v>
      </c>
      <c r="D34" s="508" t="s">
        <v>176</v>
      </c>
      <c r="E34" s="742" t="str">
        <f>IF(VLOOKUP(CONCATENATE($C$2,"-",$D34),Languages!$A:$D,1,TRUE)=CONCATENATE($C$2,"-",$D34),VLOOKUP(CONCATENATE($C$2,"-",$D34),Languages!$A:$D,Kybermittari!$C$7,TRUE),NA())</f>
        <v>Käyttöoikeudet katselmoidaan ja päivitetään ajantasaisiksi organisaation määrittelemin aikavälein, jotta varmistetaan että ne noudattavat asetettuja vaatimuksia.</v>
      </c>
      <c r="F34" s="742"/>
      <c r="G34" s="742"/>
      <c r="H34" s="493">
        <f>IFERROR(INT(LEFT($I34,1)),0)</f>
        <v>0</v>
      </c>
      <c r="I34" s="54"/>
      <c r="J34" s="527"/>
      <c r="K34" s="509"/>
      <c r="L34" s="483"/>
      <c r="M34" s="545"/>
      <c r="N34" s="523"/>
      <c r="O34" s="495"/>
      <c r="P34" s="495"/>
    </row>
    <row r="35" spans="1:16" s="510" customFormat="1" ht="35" customHeight="1" x14ac:dyDescent="0.3">
      <c r="A35" s="524"/>
      <c r="B35" s="741"/>
      <c r="C35" s="760"/>
      <c r="D35" s="508" t="s">
        <v>178</v>
      </c>
      <c r="E35" s="742" t="str">
        <f>IF(VLOOKUP(CONCATENATE($C$2,"-",$D35),Languages!$A:$D,1,TRUE)=CONCATENATE($C$2,"-",$D35),VLOOKUP(CONCATENATE($C$2,"-",$D35),Languages!$A:$D,Kybermittari!$C$7,TRUE),NA())</f>
        <v>Poikkeavia kirjautumis- ja yhteydenmuodostusyrityksiä seurataan ja ne rekisteröidään mahdollisina kybertapahtumina.</v>
      </c>
      <c r="F35" s="742"/>
      <c r="G35" s="742"/>
      <c r="H35" s="493">
        <f>IFERROR(INT(LEFT($I35,1)),0)</f>
        <v>0</v>
      </c>
      <c r="I35" s="54"/>
      <c r="J35" s="527"/>
      <c r="K35" s="509"/>
      <c r="L35" s="483"/>
      <c r="M35" s="545"/>
      <c r="N35" s="523"/>
      <c r="O35" s="495"/>
      <c r="P35" s="495"/>
    </row>
    <row r="36" spans="1:16" s="343" customFormat="1" ht="30" customHeight="1" x14ac:dyDescent="0.25">
      <c r="A36" s="332"/>
      <c r="B36" s="461"/>
      <c r="C36" s="336">
        <v>3</v>
      </c>
      <c r="D36" s="336" t="str">
        <f>IF(VLOOKUP(CONCATENATE($C$2,"-",C36),Languages!$A:$D,1,TRUE)=CONCATENATE($C$2,"-",C36),VLOOKUP(CONCATENATE($C$2,"-",C36),Languages!$A:$D,Kybermittari!$C$7,TRUE),NA())</f>
        <v>Yleisiä hallintatoimia</v>
      </c>
      <c r="E36" s="336"/>
      <c r="F36" s="506"/>
      <c r="G36" s="506"/>
      <c r="H36" s="506"/>
      <c r="I36" s="506" t="s">
        <v>19</v>
      </c>
      <c r="J36" s="507"/>
      <c r="K36" s="339"/>
      <c r="L36" s="332"/>
      <c r="M36" s="533"/>
      <c r="N36" s="636"/>
      <c r="O36" s="341"/>
      <c r="P36" s="341"/>
    </row>
    <row r="37" spans="1:16" s="475" customFormat="1" ht="47.5" customHeight="1" x14ac:dyDescent="0.3">
      <c r="A37" s="524"/>
      <c r="B37" s="525"/>
      <c r="C37" s="745" t="str">
        <f>IF(VLOOKUP(CONCATENATE($C$2,"-",$C36,"-0"),Languages!$A:$D,1,TRUE)=CONCATENATE($C$2,"-",$C36,"-0"),VLOOKUP(CONCATENATE($C$2,"-",$C36,"-0"),Languages!$A:$D,Kybermittari!$C$7,TRUE),NA())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37" s="745"/>
      <c r="E37" s="745"/>
      <c r="F37" s="745"/>
      <c r="G37" s="745"/>
      <c r="H37" s="745"/>
      <c r="I37" s="745"/>
      <c r="J37" s="745"/>
      <c r="K37" s="471"/>
      <c r="L37" s="483"/>
      <c r="M37" s="545"/>
      <c r="N37" s="523"/>
      <c r="O37" s="473"/>
      <c r="P37" s="473"/>
    </row>
    <row r="38" spans="1:16" s="547" customFormat="1" ht="20" customHeight="1" x14ac:dyDescent="0.3">
      <c r="A38" s="483"/>
      <c r="B38" s="476"/>
      <c r="C38" s="477" t="str">
        <f>IF(VLOOKUP("GEN-LEVEL",Languages!$A:$D,1,TRUE)="GEN-LEVEL",VLOOKUP("GEN-LEVEL",Languages!$A:$D,Kybermittari!$C$7,TRUE),NA())</f>
        <v>Taso</v>
      </c>
      <c r="D38" s="477"/>
      <c r="E38" s="478" t="str">
        <f>IF(VLOOKUP("GEN-PRACTICE",Languages!$A:$D,1,TRUE)="GEN-PRACTICE",VLOOKUP("GEN-PRACTICE",Languages!$A:$D,Kybermittari!$C$7,TRUE),NA())</f>
        <v>Käytäntö</v>
      </c>
      <c r="F38" s="479"/>
      <c r="G38" s="480"/>
      <c r="H38" s="481"/>
      <c r="I38" s="478" t="str">
        <f>IF(VLOOKUP("GEN-ANSWER",Languages!$A:$D,1,TRUE)="GEN-ANSWER",VLOOKUP("GEN-ANSWER",Languages!$A:$D,Kybermittari!$C$7,TRUE),NA())</f>
        <v>Vastaus</v>
      </c>
      <c r="J38" s="480" t="str">
        <f>IF(VLOOKUP("GEN-COMMENT",Languages!$A:$D,1,TRUE)="GEN-COMMENT",VLOOKUP("GEN-COMMENT",Languages!$A:$D,Kybermittari!$C$7,TRUE),NA())</f>
        <v>Kommentti ja viittaukset</v>
      </c>
      <c r="K38" s="482"/>
      <c r="L38" s="524"/>
      <c r="M38" s="545"/>
      <c r="N38" s="524"/>
      <c r="O38" s="546"/>
      <c r="P38" s="546"/>
    </row>
    <row r="39" spans="1:16" s="547" customFormat="1" ht="10" customHeight="1" x14ac:dyDescent="0.3">
      <c r="A39" s="483"/>
      <c r="B39" s="476"/>
      <c r="C39" s="487"/>
      <c r="D39" s="487"/>
      <c r="E39" s="488"/>
      <c r="F39" s="489"/>
      <c r="G39" s="490"/>
      <c r="H39" s="491"/>
      <c r="I39" s="488"/>
      <c r="J39" s="490"/>
      <c r="K39" s="482"/>
      <c r="L39" s="524"/>
      <c r="M39" s="545"/>
      <c r="N39" s="524"/>
      <c r="O39" s="546"/>
      <c r="P39" s="546"/>
    </row>
    <row r="40" spans="1:16" s="547" customFormat="1" ht="20" customHeight="1" x14ac:dyDescent="0.3">
      <c r="A40" s="483"/>
      <c r="B40" s="476"/>
      <c r="C40" s="557">
        <v>1</v>
      </c>
      <c r="D40" s="558"/>
      <c r="E40" s="559"/>
      <c r="F40" s="560"/>
      <c r="G40" s="561"/>
      <c r="H40" s="562"/>
      <c r="I40" s="559"/>
      <c r="J40" s="563"/>
      <c r="K40" s="482"/>
      <c r="L40" s="524"/>
      <c r="M40" s="545"/>
      <c r="N40" s="524"/>
      <c r="O40" s="546"/>
      <c r="P40" s="546"/>
    </row>
    <row r="41" spans="1:16" s="547" customFormat="1" ht="10" customHeight="1" x14ac:dyDescent="0.3">
      <c r="A41" s="483"/>
      <c r="B41" s="476"/>
      <c r="C41" s="487"/>
      <c r="D41" s="487"/>
      <c r="E41" s="488"/>
      <c r="F41" s="489"/>
      <c r="G41" s="490"/>
      <c r="H41" s="491"/>
      <c r="I41" s="488"/>
      <c r="J41" s="490"/>
      <c r="K41" s="482"/>
      <c r="L41" s="524"/>
      <c r="M41" s="545"/>
      <c r="N41" s="524"/>
      <c r="O41" s="546"/>
      <c r="P41" s="546"/>
    </row>
    <row r="42" spans="1:16" s="510" customFormat="1" ht="35" customHeight="1" x14ac:dyDescent="0.3">
      <c r="A42" s="524"/>
      <c r="B42" s="741"/>
      <c r="C42" s="760">
        <v>2</v>
      </c>
      <c r="D42" s="508" t="s">
        <v>25</v>
      </c>
      <c r="E42" s="742" t="str">
        <f>IF(VLOOKUP(CONCATENATE($C$2,"-",$D42),Languages!$A:$D,1,TRUE)=CONCATENATE($C$2,"-",$D42),VLOOKUP(CONCATENATE($C$2,"-",$D42),Languages!$A:$D,Kybermittari!$C$7,TRUE),NA())</f>
        <v>Identiteetin- ja pääsynhallinnan (ACCESS) osioon liittyen on määritetty dokumentoidut käytännöt, joita noudatetaan ja pidetään yllä.</v>
      </c>
      <c r="F42" s="742"/>
      <c r="G42" s="742"/>
      <c r="H42" s="493">
        <f>IFERROR(INT(LEFT($I42,1)),0)</f>
        <v>0</v>
      </c>
      <c r="I42" s="54"/>
      <c r="J42" s="527"/>
      <c r="K42" s="509"/>
      <c r="L42" s="524"/>
      <c r="M42" s="545"/>
      <c r="N42" s="524"/>
      <c r="O42" s="495"/>
      <c r="P42" s="495"/>
    </row>
    <row r="43" spans="1:16" s="510" customFormat="1" ht="35" customHeight="1" x14ac:dyDescent="0.3">
      <c r="A43" s="524"/>
      <c r="B43" s="741"/>
      <c r="C43" s="760"/>
      <c r="D43" s="508" t="s">
        <v>26</v>
      </c>
      <c r="E43" s="742" t="str">
        <f>IF(VLOOKUP(CONCATENATE($C$2,"-",$D43),Languages!$A:$D,1,TRUE)=CONCATENATE($C$2,"-",$D43),VLOOKUP(CONCATENATE($C$2,"-",$D43),Languages!$A:$D,Kybermittari!$C$7,TRUE),NA())</f>
        <v>Identiteetin- ja pääsynhallinnan (ACCESS) osion toimintaan on saatavilla riittävät resurssit (henkilöstö, rahoitus ja työkalut).</v>
      </c>
      <c r="F43" s="742"/>
      <c r="G43" s="742"/>
      <c r="H43" s="493">
        <f>IFERROR(INT(LEFT($I43,1)),0)</f>
        <v>0</v>
      </c>
      <c r="I43" s="54"/>
      <c r="J43" s="527"/>
      <c r="K43" s="509"/>
      <c r="L43" s="524"/>
      <c r="M43" s="545"/>
      <c r="N43" s="524"/>
      <c r="O43" s="495"/>
      <c r="P43" s="495"/>
    </row>
    <row r="44" spans="1:16" s="510" customFormat="1" ht="35" customHeight="1" x14ac:dyDescent="0.3">
      <c r="A44" s="524"/>
      <c r="B44" s="741"/>
      <c r="C44" s="760"/>
      <c r="D44" s="508" t="s">
        <v>27</v>
      </c>
      <c r="E44" s="742" t="str">
        <f>IF(VLOOKUP(CONCATENATE($C$2,"-",$D44),Languages!$A:$D,1,TRUE)=CONCATENATE($C$2,"-",$D44),VLOOKUP(CONCATENATE($C$2,"-",$D44),Languages!$A:$D,Kybermittari!$C$7,TRUE),NA())</f>
        <v>Identiteetin- ja pääsynhallinnan (ACCESS) osion toimintaa suorittavilla työntekijöillä on riittävät tiedot ja taidot tehtäviensä suorittamiseen.</v>
      </c>
      <c r="F44" s="742"/>
      <c r="G44" s="742"/>
      <c r="H44" s="493">
        <f>IFERROR(INT(LEFT($I44,1)),0)</f>
        <v>0</v>
      </c>
      <c r="I44" s="54"/>
      <c r="J44" s="527"/>
      <c r="K44" s="509"/>
      <c r="L44" s="524"/>
      <c r="M44" s="545"/>
      <c r="N44" s="524"/>
      <c r="O44" s="495"/>
      <c r="P44" s="495"/>
    </row>
    <row r="45" spans="1:16" s="510" customFormat="1" ht="35" customHeight="1" x14ac:dyDescent="0.3">
      <c r="A45" s="524"/>
      <c r="B45" s="741"/>
      <c r="C45" s="760"/>
      <c r="D45" s="508" t="s">
        <v>28</v>
      </c>
      <c r="E45" s="742" t="str">
        <f>IF(VLOOKUP(CONCATENATE($C$2,"-",$D45),Languages!$A:$D,1,TRUE)=CONCATENATE($C$2,"-",$D45),VLOOKUP(CONCATENATE($C$2,"-",$D45),Languages!$A:$D,Kybermittari!$C$7,TRUE),NA())</f>
        <v>Identiteetin- ja pääsynhallinnan (ACCESS) osion toiminnan suorittamiseen liittyvät vastuut ja valtuudet on osoitettu nimetyille työntekijöille.</v>
      </c>
      <c r="F45" s="742"/>
      <c r="G45" s="742"/>
      <c r="H45" s="493">
        <f>IFERROR(INT(LEFT($I45,1)),0)</f>
        <v>0</v>
      </c>
      <c r="I45" s="54"/>
      <c r="J45" s="527"/>
      <c r="K45" s="509"/>
      <c r="L45" s="524"/>
      <c r="M45" s="545"/>
      <c r="N45" s="524"/>
      <c r="O45" s="495"/>
      <c r="P45" s="495"/>
    </row>
    <row r="46" spans="1:16" s="510" customFormat="1" ht="10" customHeight="1" x14ac:dyDescent="0.3">
      <c r="A46" s="524"/>
      <c r="B46" s="511"/>
      <c r="C46" s="565"/>
      <c r="D46" s="513"/>
      <c r="E46" s="501"/>
      <c r="F46" s="501"/>
      <c r="G46" s="501"/>
      <c r="H46" s="499"/>
      <c r="I46" s="502"/>
      <c r="J46" s="514"/>
      <c r="K46" s="509"/>
      <c r="L46" s="524"/>
      <c r="M46" s="545"/>
      <c r="N46" s="524"/>
      <c r="O46" s="495"/>
      <c r="P46" s="495"/>
    </row>
    <row r="47" spans="1:16" s="510" customFormat="1" ht="60" customHeight="1" x14ac:dyDescent="0.3">
      <c r="A47" s="524"/>
      <c r="B47" s="741"/>
      <c r="C47" s="760">
        <v>3</v>
      </c>
      <c r="D47" s="508" t="s">
        <v>29</v>
      </c>
      <c r="E47" s="742" t="str">
        <f>IF(VLOOKUP(CONCATENATE($C$2,"-",$D47),Languages!$A:$D,1,TRUE)=CONCATENATE($C$2,"-",$D47),VLOOKUP(CONCATENATE($C$2,"-",$D47),Languages!$A:$D,Kybermittari!$C$7,TRUE),NA())</f>
        <v>Identiteetin- ja pääsynhallinnan (ACCESS) osion toiminta perustuu organisaation määrittämään ja ylläpitämään johtotason politiikkaan (tai vastaavaan ohjeistukseen), jossa asetetaan nimenomaisia vaatimuksia tämän osion toiminnalle.</v>
      </c>
      <c r="F47" s="742"/>
      <c r="G47" s="742"/>
      <c r="H47" s="493">
        <f>IFERROR(INT(LEFT($I47,1)),0)</f>
        <v>0</v>
      </c>
      <c r="I47" s="54"/>
      <c r="J47" s="527"/>
      <c r="K47" s="509"/>
      <c r="L47" s="524"/>
      <c r="M47" s="545"/>
      <c r="N47" s="524"/>
      <c r="O47" s="495"/>
      <c r="P47" s="495"/>
    </row>
    <row r="48" spans="1:16" s="510" customFormat="1" ht="35" customHeight="1" x14ac:dyDescent="0.3">
      <c r="A48" s="524"/>
      <c r="B48" s="741"/>
      <c r="C48" s="760"/>
      <c r="D48" s="508" t="s">
        <v>30</v>
      </c>
      <c r="E48" s="742" t="str">
        <f>IF(VLOOKUP(CONCATENATE($C$2,"-",$D48),Languages!$A:$D,1,TRUE)=CONCATENATE($C$2,"-",$D48),VLOOKUP(CONCATENATE($C$2,"-",$D48),Languages!$A:$D,Kybermittari!$C$7,TRUE),NA())</f>
        <v>Identiteetin- ja pääsynhallinnan (ACCESS) osion toiminnalle on määritetty suoriutumistavoitteet, joiden toteutumista seurataan [kts. PROGRAM-1b].</v>
      </c>
      <c r="F48" s="742"/>
      <c r="G48" s="742"/>
      <c r="H48" s="493">
        <f>IFERROR(INT(LEFT($I48,1)),0)</f>
        <v>0</v>
      </c>
      <c r="I48" s="54"/>
      <c r="J48" s="527"/>
      <c r="K48" s="509"/>
      <c r="L48" s="618"/>
      <c r="M48" s="545"/>
      <c r="N48" s="618"/>
      <c r="O48" s="495"/>
      <c r="P48" s="495"/>
    </row>
    <row r="49" spans="1:16" s="510" customFormat="1" ht="35" customHeight="1" x14ac:dyDescent="0.3">
      <c r="A49" s="524"/>
      <c r="B49" s="741"/>
      <c r="C49" s="760"/>
      <c r="D49" s="508" t="s">
        <v>31</v>
      </c>
      <c r="E49" s="742" t="str">
        <f>IF(VLOOKUP(CONCATENATE($C$2,"-",$D49),Languages!$A:$D,1,TRUE)=CONCATENATE($C$2,"-",$D49),VLOOKUP(CONCATENATE($C$2,"-",$D49),Languages!$A:$D,Kybermittari!$C$7,TRUE),NA())</f>
        <v>Identiteetin- ja pääsynhallinnan (ACCESS) osioon liittyvät käytännöt on standardoitu läpi koko organisaation ja niitä kehitetään aktiivisesti.</v>
      </c>
      <c r="F49" s="742"/>
      <c r="G49" s="742"/>
      <c r="H49" s="493">
        <f>IFERROR(INT(LEFT($I49,1)),0)</f>
        <v>0</v>
      </c>
      <c r="I49" s="54"/>
      <c r="J49" s="527"/>
      <c r="K49" s="509"/>
      <c r="L49" s="524"/>
      <c r="M49" s="545"/>
      <c r="N49" s="524"/>
      <c r="O49" s="495"/>
      <c r="P49" s="495"/>
    </row>
    <row r="50" spans="1:16" x14ac:dyDescent="0.25">
      <c r="A50" s="347"/>
      <c r="B50" s="619"/>
      <c r="C50" s="620"/>
      <c r="D50" s="621"/>
      <c r="E50" s="622"/>
      <c r="F50" s="622"/>
      <c r="G50" s="622"/>
      <c r="H50" s="623"/>
      <c r="I50" s="624"/>
      <c r="J50" s="625"/>
      <c r="K50" s="626"/>
      <c r="L50" s="332"/>
      <c r="M50" s="533"/>
      <c r="N50" s="636"/>
    </row>
    <row r="51" spans="1:16" x14ac:dyDescent="0.25">
      <c r="A51" s="347"/>
      <c r="B51" s="347"/>
      <c r="C51" s="347"/>
      <c r="D51" s="347"/>
      <c r="E51" s="347"/>
      <c r="F51" s="347"/>
      <c r="G51" s="347"/>
      <c r="H51" s="627"/>
      <c r="I51" s="347"/>
      <c r="J51" s="347"/>
      <c r="K51" s="347"/>
      <c r="L51" s="332"/>
      <c r="M51" s="533"/>
      <c r="N51" s="636"/>
    </row>
    <row r="52" spans="1:16" x14ac:dyDescent="0.25">
      <c r="L52" s="631"/>
      <c r="M52" s="630"/>
      <c r="N52" s="349"/>
    </row>
    <row r="53" spans="1:16" x14ac:dyDescent="0.25">
      <c r="L53" s="631"/>
      <c r="M53" s="630"/>
      <c r="N53" s="349"/>
    </row>
    <row r="54" spans="1:16" x14ac:dyDescent="0.25">
      <c r="L54" s="631"/>
      <c r="M54" s="630"/>
      <c r="N54" s="349"/>
    </row>
    <row r="55" spans="1:16" x14ac:dyDescent="0.25">
      <c r="L55" s="631"/>
      <c r="M55" s="630"/>
      <c r="N55" s="349"/>
    </row>
    <row r="56" spans="1:16" x14ac:dyDescent="0.25">
      <c r="L56" s="631"/>
      <c r="M56" s="630"/>
      <c r="N56" s="349"/>
    </row>
    <row r="57" spans="1:16" x14ac:dyDescent="0.25">
      <c r="L57" s="631"/>
      <c r="M57" s="630"/>
      <c r="N57" s="349"/>
    </row>
    <row r="58" spans="1:16" x14ac:dyDescent="0.25">
      <c r="L58" s="631"/>
      <c r="M58" s="630"/>
      <c r="N58" s="349"/>
    </row>
    <row r="59" spans="1:16" x14ac:dyDescent="0.25">
      <c r="L59" s="631"/>
      <c r="M59" s="630"/>
      <c r="N59" s="349"/>
    </row>
    <row r="60" spans="1:16" x14ac:dyDescent="0.25">
      <c r="L60" s="631"/>
      <c r="M60" s="630"/>
      <c r="N60" s="349"/>
    </row>
    <row r="61" spans="1:16" x14ac:dyDescent="0.25">
      <c r="L61" s="631"/>
      <c r="M61" s="630"/>
      <c r="N61" s="349"/>
    </row>
    <row r="62" spans="1:16" x14ac:dyDescent="0.25">
      <c r="L62" s="631"/>
      <c r="M62" s="630"/>
      <c r="N62" s="349"/>
    </row>
    <row r="63" spans="1:16" x14ac:dyDescent="0.25">
      <c r="L63" s="631"/>
      <c r="M63" s="630"/>
      <c r="N63" s="349"/>
    </row>
  </sheetData>
  <sheetProtection sheet="1" objects="1" scenarios="1"/>
  <mergeCells count="39">
    <mergeCell ref="E21:G21"/>
    <mergeCell ref="B47:B49"/>
    <mergeCell ref="C47:C49"/>
    <mergeCell ref="B42:B45"/>
    <mergeCell ref="B26:B27"/>
    <mergeCell ref="E47:G47"/>
    <mergeCell ref="E48:G48"/>
    <mergeCell ref="E49:G49"/>
    <mergeCell ref="C37:J37"/>
    <mergeCell ref="C42:C45"/>
    <mergeCell ref="E42:G42"/>
    <mergeCell ref="E43:G43"/>
    <mergeCell ref="E44:G44"/>
    <mergeCell ref="E45:G45"/>
    <mergeCell ref="B28:B35"/>
    <mergeCell ref="E35:G35"/>
    <mergeCell ref="E31:G31"/>
    <mergeCell ref="E32:G32"/>
    <mergeCell ref="E34:G34"/>
    <mergeCell ref="C23:J23"/>
    <mergeCell ref="E26:G26"/>
    <mergeCell ref="E27:G27"/>
    <mergeCell ref="E28:G28"/>
    <mergeCell ref="E30:G30"/>
    <mergeCell ref="C26:C28"/>
    <mergeCell ref="C30:C32"/>
    <mergeCell ref="C34:C35"/>
    <mergeCell ref="B15:B19"/>
    <mergeCell ref="E15:G15"/>
    <mergeCell ref="E17:G17"/>
    <mergeCell ref="E18:G18"/>
    <mergeCell ref="E19:G19"/>
    <mergeCell ref="C13:C15"/>
    <mergeCell ref="C17:C19"/>
    <mergeCell ref="C10:J10"/>
    <mergeCell ref="B13:B14"/>
    <mergeCell ref="E13:G13"/>
    <mergeCell ref="E14:G14"/>
    <mergeCell ref="C5:J5"/>
  </mergeCells>
  <conditionalFormatting sqref="H40">
    <cfRule type="containsText" dxfId="60" priority="5" operator="containsText" text="0">
      <formula>NOT(ISERROR(SEARCH("0",H40)))</formula>
    </cfRule>
  </conditionalFormatting>
  <conditionalFormatting sqref="H1:H1048576">
    <cfRule type="containsText" dxfId="59"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C9F9FD20-98D7-4FC5-BB0D-9549F77058F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H40</xm:sqref>
        </x14:conditionalFormatting>
        <x14:conditionalFormatting xmlns:xm="http://schemas.microsoft.com/office/excel/2006/main">
          <x14:cfRule type="iconSet" priority="4" id="{E38E2DAA-D23E-4039-AAA5-1F8BD2F37A5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I13:I15 I17:I19 I21 I26:I28 I30:I32 I34:I35 I42:I45 I47:I49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3"/>
  <sheetViews>
    <sheetView showGridLines="0" zoomScaleNormal="100" workbookViewId="0">
      <selection activeCell="I13" sqref="I13"/>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69</v>
      </c>
      <c r="D2" s="591"/>
      <c r="E2" s="592"/>
      <c r="F2" s="592"/>
      <c r="G2" s="592"/>
      <c r="H2" s="593"/>
      <c r="I2" s="592"/>
      <c r="J2" s="594"/>
      <c r="K2" s="595"/>
      <c r="L2" s="332"/>
      <c r="M2" s="533"/>
      <c r="N2" s="332"/>
      <c r="O2" s="341"/>
      <c r="P2" s="341"/>
    </row>
    <row r="3" spans="1:16" s="598" customFormat="1" ht="25" customHeight="1" x14ac:dyDescent="0.35">
      <c r="A3" s="596"/>
      <c r="B3" s="597"/>
      <c r="C3" s="321" t="str">
        <f>IF(VLOOKUP($C$2,Languages!$A:$D,1,TRUE)=$C$2,VLOOKUP($C$2,Languages!$A:$D,Kybermittari!$C$7,TRUE),NA())</f>
        <v>Uhkien ja haavoittuvuuksien hallinta</v>
      </c>
      <c r="D3" s="449"/>
      <c r="E3" s="450"/>
      <c r="G3" s="599"/>
      <c r="H3" s="600"/>
      <c r="I3" s="599"/>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47" customHeight="1" x14ac:dyDescent="0.25">
      <c r="A5" s="344"/>
      <c r="B5" s="532"/>
      <c r="C5" s="750" t="str">
        <f>IF(VLOOKUP(CONCATENATE(C2,"-0"),Languages!$A:$D,1,TRUE)=CONCATENATE(C2,"-0"),VLOOKUP(CONCATENATE(C2,"-0"),Languages!$A:$D,Kybermittari!$C$7,TRUE),NA())</f>
        <v>Uhkien ja haavoittuvuuksien hallinnan osiossa arvioidaan organisaation kykyä havaita ja hallita mahdollisia kyberuhkia ja haavoittuvuuksia. Organisaation tulee määritellä ja ylläpitää suunnitelmia, prosesseja ja teknologiaa, joiden avulla havaita, tunnistaa, analysoida, hallita ja vastata kyberuhkiin ja haavoittuvuuksiin. Toimien tulee olla suhteessa sekä suojattaviin kohteisiin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Uhkien tunnistaminen ja hallinta</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Haavoittuvuuksien rajoittaminen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Yleisiä hallintatoimia</v>
      </c>
      <c r="F8" s="607"/>
      <c r="G8" s="386"/>
      <c r="H8" s="610"/>
      <c r="I8" s="459" t="str">
        <f ca="1">VLOOKUP(VLOOKUP(CONCATENATE($C$2,"-",$C8),Data!$K:$O,5,FALSE),Parameters!$C$7:$F$10,Kybermittari!$C$7,FALSE)</f>
        <v>Kypsyystaso 1</v>
      </c>
      <c r="J8" s="611"/>
      <c r="K8" s="356"/>
      <c r="L8" s="344"/>
      <c r="M8" s="533"/>
      <c r="N8" s="344"/>
    </row>
    <row r="9" spans="1:16" s="343" customFormat="1" ht="30" customHeight="1" x14ac:dyDescent="0.25">
      <c r="A9" s="332"/>
      <c r="B9" s="461"/>
      <c r="C9" s="336">
        <v>1</v>
      </c>
      <c r="D9" s="336" t="str">
        <f>IF(VLOOKUP(CONCATENATE($C$2,"-",C9),Languages!$A:$D,1,TRUE)=CONCATENATE($C$2,"-",C9),VLOOKUP(CONCATENATE($C$2,"-",C9),Languages!$A:$D,Kybermittari!$C$7,TRUE),NA())</f>
        <v>Uhkien tunnistaminen ja hallinta</v>
      </c>
      <c r="E9" s="336"/>
      <c r="F9" s="463"/>
      <c r="G9" s="463"/>
      <c r="H9" s="464"/>
      <c r="I9" s="464"/>
      <c r="J9" s="465"/>
      <c r="K9" s="466"/>
      <c r="L9" s="344"/>
      <c r="M9" s="533"/>
      <c r="N9" s="344"/>
      <c r="O9" s="341"/>
      <c r="P9" s="341"/>
    </row>
    <row r="10" spans="1:16" s="475" customFormat="1" ht="63" customHeight="1" x14ac:dyDescent="0.3">
      <c r="A10" s="469"/>
      <c r="B10" s="470"/>
      <c r="C10" s="745" t="str">
        <f>IF(VLOOKUP(CONCATENATE($C$2,"-",$C9,"-0"),Languages!$A:$D,1,TRUE)=CONCATENATE($C$2,"-",$C9,"-0"),VLOOKUP(CONCATENATE($C$2,"-",$C9,"-0"),Languages!$A:$D,Kybermittari!$C$7,TRUE),NA())</f>
        <v>Uhkien tunnistaminen ja hallinta alkaa relevantin uhkatiedon keräämisellä luotettavista lähteistä, tulkitsemalla kerättyä tietoa suhteessa organisaation omaan toimintaympäristöön ja reagoimalla niihin uhkiin, joilla on mahdollisuus vaikuttaa palveluiden toimintavarmuuteen. Organisaation uhkaprofiili sisältää kuvaukset mahdollisista uhkatekijöistä, mkl. uhkatekijöiden kyvykkyyksistä, tavoitteista ja kohteista. Uhkaprofiilia voidaan käyttää uhkien tarkempaan tunnistamiseen, sitä voidaan hyödyntää osana riskien analysointia ja arviointia [kts. RISK] tai kyberturvallisuuden tilannekuvan muodostamiseen [kts. SITUATION].</v>
      </c>
      <c r="D10" s="745"/>
      <c r="E10" s="745"/>
      <c r="F10" s="745"/>
      <c r="G10" s="745"/>
      <c r="H10" s="745"/>
      <c r="I10" s="745"/>
      <c r="J10" s="745"/>
      <c r="K10" s="471"/>
      <c r="L10" s="612"/>
      <c r="M10" s="545"/>
      <c r="N10" s="483"/>
      <c r="O10" s="473"/>
      <c r="P10" s="473"/>
    </row>
    <row r="11" spans="1:16" s="547" customFormat="1" ht="20" customHeight="1" x14ac:dyDescent="0.3">
      <c r="A11" s="483"/>
      <c r="B11" s="476"/>
      <c r="C11" s="477" t="str">
        <f>IF(VLOOKUP("GEN-LEVEL",Languages!$A:$D,1,TRUE)="GEN-LEVEL",VLOOKUP("GEN-LEVEL",Languages!$A:$D,Kybermittari!$C$7,TRUE),NA())</f>
        <v>Taso</v>
      </c>
      <c r="D11" s="477"/>
      <c r="E11" s="478" t="str">
        <f>IF(VLOOKUP("GEN-PRACTICE",Languages!$A:$D,1,TRUE)="GEN-PRACTICE",VLOOKUP("GEN-PRACTICE",Languages!$A:$D,Kybermittari!$C$7,TRUE),NA())</f>
        <v>Käytäntö</v>
      </c>
      <c r="F11" s="479"/>
      <c r="G11" s="480"/>
      <c r="H11" s="481"/>
      <c r="I11" s="478" t="str">
        <f>IF(VLOOKUP("GEN-ANSWER",Languages!$A:$D,1,TRUE)="GEN-ANSWER",VLOOKUP("GEN-ANSWER",Languages!$A:$D,Kybermittari!$C$7,TRUE),NA())</f>
        <v>Vastaus</v>
      </c>
      <c r="J11" s="480" t="str">
        <f>IF(VLOOKUP("GEN-COMMENT",Languages!$A:$D,1,TRUE)="GEN-COMMENT",VLOOKUP("GEN-COMMENT",Languages!$A:$D,Kybermittari!$C$7,TRUE),NA())</f>
        <v>Kommentti ja viittaukset</v>
      </c>
      <c r="K11" s="482"/>
      <c r="L11" s="469"/>
      <c r="M11" s="545"/>
      <c r="N11" s="469"/>
      <c r="O11" s="546"/>
      <c r="P11" s="546"/>
    </row>
    <row r="12" spans="1:16" s="547" customFormat="1" ht="10" customHeight="1" x14ac:dyDescent="0.3">
      <c r="A12" s="483"/>
      <c r="B12" s="476"/>
      <c r="C12" s="487"/>
      <c r="D12" s="487"/>
      <c r="E12" s="488"/>
      <c r="F12" s="489"/>
      <c r="G12" s="490"/>
      <c r="H12" s="491"/>
      <c r="I12" s="488"/>
      <c r="J12" s="490"/>
      <c r="K12" s="482"/>
      <c r="L12" s="469"/>
      <c r="M12" s="545"/>
      <c r="N12" s="469"/>
      <c r="O12" s="546"/>
      <c r="P12" s="546"/>
    </row>
    <row r="13" spans="1:16" s="495" customFormat="1" ht="50.5" customHeight="1" x14ac:dyDescent="0.3">
      <c r="A13" s="469"/>
      <c r="B13" s="749"/>
      <c r="C13" s="751">
        <v>1</v>
      </c>
      <c r="D13" s="492" t="s">
        <v>7</v>
      </c>
      <c r="E13" s="742" t="str">
        <f>IF(VLOOKUP(CONCATENATE($C$2,"-",$D13),Languages!$A:$D,1,TRUE)=CONCATENATE($C$2,"-",$D13),VLOOKUP(CONCATENATE($C$2,"-",$D13),Languages!$A:$D,Kybermittari!$C$7,TRUE),NA())</f>
        <v>Organisaatio tunnistaa uhkien hallintaa varten sekä sisäisiä että ulkoisia tiedonlähteitä (esim. Kybertuvallisuuskeskus, saman sektorin muut organisaatiot tai toimittajat) - ainakin tapauskohtaisesti.</v>
      </c>
      <c r="F13" s="742"/>
      <c r="G13" s="742"/>
      <c r="H13" s="493">
        <f t="shared" ref="H13" si="0">IFERROR(INT(LEFT($I13,1)),0)</f>
        <v>0</v>
      </c>
      <c r="I13" s="54"/>
      <c r="J13" s="526"/>
      <c r="K13" s="494"/>
      <c r="L13" s="483"/>
      <c r="M13" s="545"/>
      <c r="N13" s="483"/>
    </row>
    <row r="14" spans="1:16" s="495" customFormat="1" ht="35" customHeight="1" x14ac:dyDescent="0.3">
      <c r="A14" s="469"/>
      <c r="B14" s="749"/>
      <c r="C14" s="752"/>
      <c r="D14" s="492" t="s">
        <v>9</v>
      </c>
      <c r="E14" s="742" t="str">
        <f>IF(VLOOKUP(CONCATENATE($C$2,"-",$D14),Languages!$A:$D,1,TRUE)=CONCATENATE($C$2,"-",$D14),VLOOKUP(CONCATENATE($C$2,"-",$D14),Languages!$A:$D,Kybermittari!$C$7,TRUE),NA())</f>
        <v>Kyberuhkatietoa kerätään ja tulkitaan toiminnan osa-alueen näkökulmasta - ainakin tapauskohtaisesti.</v>
      </c>
      <c r="F14" s="742"/>
      <c r="G14" s="742"/>
      <c r="H14" s="493">
        <f>IFERROR(INT(LEFT($I14,1)),0)</f>
        <v>0</v>
      </c>
      <c r="I14" s="54"/>
      <c r="J14" s="526"/>
      <c r="K14" s="494"/>
      <c r="L14" s="483"/>
      <c r="M14" s="545"/>
      <c r="N14" s="483"/>
    </row>
    <row r="15" spans="1:16" s="495" customFormat="1" ht="47" customHeight="1" x14ac:dyDescent="0.3">
      <c r="A15" s="469"/>
      <c r="B15" s="749"/>
      <c r="C15" s="753"/>
      <c r="D15" s="492" t="s">
        <v>10</v>
      </c>
      <c r="E15" s="742" t="str">
        <f>IF(VLOOKUP(CONCATENATE($C$2,"-",$D15),Languages!$A:$D,1,TRUE)=CONCATENATE($C$2,"-",$D15),VLOOKUP(CONCATENATE($C$2,"-",$D15),Languages!$A:$D,Kybermittari!$C$7,TRUE),NA())</f>
        <v>Toiminnan osa-alueen toimintavarmuuden kannalta olennaisille uhkille tehdään tarvittavat toimenpiteet niiden hallitsemiseksi (esim. kontrollien implementointi, uhkatason seuranta) - ainakin tapauskohtaisesti.</v>
      </c>
      <c r="F15" s="742"/>
      <c r="G15" s="742"/>
      <c r="H15" s="493">
        <f>IFERROR(INT(LEFT($I15,1)),0)</f>
        <v>0</v>
      </c>
      <c r="I15" s="54"/>
      <c r="J15" s="526"/>
      <c r="K15" s="494"/>
      <c r="L15" s="469"/>
      <c r="M15" s="545"/>
      <c r="N15" s="469"/>
    </row>
    <row r="16" spans="1:16" s="495" customFormat="1" ht="10" customHeight="1" x14ac:dyDescent="0.3">
      <c r="A16" s="469"/>
      <c r="B16" s="749"/>
      <c r="C16" s="498"/>
      <c r="D16" s="499"/>
      <c r="E16" s="501"/>
      <c r="F16" s="501"/>
      <c r="G16" s="501"/>
      <c r="H16" s="499"/>
      <c r="I16" s="502"/>
      <c r="J16" s="502"/>
      <c r="K16" s="494"/>
      <c r="L16" s="469"/>
      <c r="M16" s="545"/>
      <c r="N16" s="469"/>
    </row>
    <row r="17" spans="1:16" s="495" customFormat="1" ht="47" customHeight="1" x14ac:dyDescent="0.3">
      <c r="A17" s="469"/>
      <c r="B17" s="749"/>
      <c r="C17" s="751">
        <v>2</v>
      </c>
      <c r="D17" s="492" t="s">
        <v>11</v>
      </c>
      <c r="E17" s="748" t="str">
        <f>IF(VLOOKUP(CONCATENATE($C$2,"-",$D17),Languages!$A:$D,1,TRUE)=CONCATENATE($C$2,"-",$D17),VLOOKUP(CONCATENATE($C$2,"-",$D17),Languages!$A:$D,Kybermittari!$C$7,TRUE),NA())</f>
        <v>Organisaatio on määrittänyt toiminnan osa-alueelle uhkaprofiilin, jossa kuvataan esimerkiksi uhkatekijät ("threat actors") ja uhkatekijöiden tavoitteet, aikomukset, kyvykkyydet ja kohteet.</v>
      </c>
      <c r="F17" s="748"/>
      <c r="G17" s="748"/>
      <c r="H17" s="493">
        <f>IFERROR(INT(LEFT($I17,1)),0)</f>
        <v>0</v>
      </c>
      <c r="I17" s="54"/>
      <c r="J17" s="526"/>
      <c r="K17" s="494"/>
      <c r="L17" s="469"/>
      <c r="M17" s="545"/>
      <c r="N17" s="469"/>
    </row>
    <row r="18" spans="1:16" s="495" customFormat="1" ht="47" customHeight="1" x14ac:dyDescent="0.3">
      <c r="A18" s="469"/>
      <c r="B18" s="749"/>
      <c r="C18" s="752"/>
      <c r="D18" s="503" t="s">
        <v>12</v>
      </c>
      <c r="E18" s="748" t="str">
        <f>IF(VLOOKUP(CONCATENATE($C$2,"-",$D18),Languages!$A:$D,1,TRUE)=CONCATENATE($C$2,"-",$D18),VLOOKUP(CONCATENATE($C$2,"-",$D18),Languages!$A:$D,Kybermittari!$C$7,TRUE),NA())</f>
        <v>Organisaatio tunnistaa ja priorisoi sellaiset tietolähteet, jotka kattavat kokonaisuudessaan kaikki uhkaprofiilin osat, ja monitoroi näitä lähteitä aktiivisesti.</v>
      </c>
      <c r="F18" s="748"/>
      <c r="G18" s="748"/>
      <c r="H18" s="493">
        <f>IFERROR(INT(LEFT($I18,1)),0)</f>
        <v>0</v>
      </c>
      <c r="I18" s="54"/>
      <c r="J18" s="527"/>
      <c r="K18" s="504"/>
      <c r="L18" s="549"/>
      <c r="M18" s="545"/>
      <c r="N18" s="549"/>
    </row>
    <row r="19" spans="1:16" s="495" customFormat="1" ht="35" customHeight="1" x14ac:dyDescent="0.3">
      <c r="A19" s="469"/>
      <c r="B19" s="749"/>
      <c r="C19" s="752"/>
      <c r="D19" s="503" t="s">
        <v>13</v>
      </c>
      <c r="E19" s="748" t="str">
        <f>IF(VLOOKUP(CONCATENATE($C$2,"-",$D19),Languages!$A:$D,1,TRUE)=CONCATENATE($C$2,"-",$D19),VLOOKUP(CONCATENATE($C$2,"-",$D19),Languages!$A:$D,Kybermittari!$C$7,TRUE),NA())</f>
        <v>Tunnistetut uhat analysoidaan, priorisoidaan ja niihin vastataan tarvittavin keinoin.</v>
      </c>
      <c r="F19" s="748"/>
      <c r="G19" s="748"/>
      <c r="H19" s="493">
        <f>IFERROR(INT(LEFT($I19,1)),0)</f>
        <v>0</v>
      </c>
      <c r="I19" s="54"/>
      <c r="J19" s="527"/>
      <c r="K19" s="504"/>
      <c r="L19" s="469"/>
      <c r="M19" s="545"/>
      <c r="N19" s="469"/>
    </row>
    <row r="20" spans="1:16" s="495" customFormat="1" ht="35" customHeight="1" x14ac:dyDescent="0.3">
      <c r="A20" s="469"/>
      <c r="B20" s="747"/>
      <c r="C20" s="753"/>
      <c r="D20" s="503" t="s">
        <v>14</v>
      </c>
      <c r="E20" s="748" t="str">
        <f>IF(VLOOKUP(CONCATENATE($C$2,"-",$D20),Languages!$A:$D,1,TRUE)=CONCATENATE($C$2,"-",$D20),VLOOKUP(CONCATENATE($C$2,"-",$D20),Languages!$A:$D,Kybermittari!$C$7,TRUE),NA())</f>
        <v>Kyberuhkatietoa tarjotaan valituille henkilöille ja/tai osastoille.</v>
      </c>
      <c r="F20" s="748"/>
      <c r="G20" s="748"/>
      <c r="H20" s="493">
        <f>IFERROR(INT(LEFT($I20,1)),0)</f>
        <v>0</v>
      </c>
      <c r="I20" s="54"/>
      <c r="J20" s="527"/>
      <c r="K20" s="504"/>
      <c r="L20" s="469"/>
      <c r="M20" s="545"/>
      <c r="N20" s="469"/>
    </row>
    <row r="21" spans="1:16" s="495" customFormat="1" ht="10" customHeight="1" x14ac:dyDescent="0.3">
      <c r="A21" s="469"/>
      <c r="B21" s="747"/>
      <c r="C21" s="498"/>
      <c r="D21" s="614"/>
      <c r="E21" s="615"/>
      <c r="F21" s="615"/>
      <c r="G21" s="615"/>
      <c r="H21" s="499"/>
      <c r="I21" s="502"/>
      <c r="J21" s="514"/>
      <c r="K21" s="504"/>
      <c r="L21" s="469"/>
      <c r="M21" s="545"/>
      <c r="N21" s="469"/>
    </row>
    <row r="22" spans="1:16" s="495" customFormat="1" ht="35" customHeight="1" x14ac:dyDescent="0.3">
      <c r="A22" s="469"/>
      <c r="B22" s="747"/>
      <c r="C22" s="754">
        <v>3</v>
      </c>
      <c r="D22" s="503" t="s">
        <v>15</v>
      </c>
      <c r="E22" s="748" t="str">
        <f>IF(VLOOKUP(CONCATENATE($C$2,"-",$D22),Languages!$A:$D,1,TRUE)=CONCATENATE($C$2,"-",$D22),VLOOKUP(CONCATENATE($C$2,"-",$D22),Languages!$A:$D,Kybermittari!$C$7,TRUE),NA())</f>
        <v>Uhkaprofiili päivitetään organisaation määrittelemin aikavälein.</v>
      </c>
      <c r="F22" s="748"/>
      <c r="G22" s="748"/>
      <c r="H22" s="493">
        <f>IFERROR(INT(LEFT($I22,1)),0)</f>
        <v>0</v>
      </c>
      <c r="I22" s="54"/>
      <c r="J22" s="527"/>
      <c r="K22" s="504"/>
      <c r="L22" s="524"/>
      <c r="M22" s="545"/>
      <c r="N22" s="524"/>
    </row>
    <row r="23" spans="1:16" s="495" customFormat="1" ht="35" customHeight="1" x14ac:dyDescent="0.3">
      <c r="A23" s="469"/>
      <c r="B23" s="747"/>
      <c r="C23" s="755"/>
      <c r="D23" s="503" t="s">
        <v>16</v>
      </c>
      <c r="E23" s="748" t="str">
        <f>IF(VLOOKUP(CONCATENATE($C$2,"-",$D23),Languages!$A:$D,1,TRUE)=CONCATENATE($C$2,"-",$D23),VLOOKUP(CONCATENATE($C$2,"-",$D23),Languages!$A:$D,Kybermittari!$C$7,TRUE),NA())</f>
        <v>Uhat, jotka aiheuttavat riskin toiminnan osa-alueelle, viedään riskienhallintaprosessiin päätöksiä ja toimenpiteitä varten [kts. RISK-1e].</v>
      </c>
      <c r="F23" s="748"/>
      <c r="G23" s="748"/>
      <c r="H23" s="493">
        <f>IFERROR(INT(LEFT($I23,1)),0)</f>
        <v>0</v>
      </c>
      <c r="I23" s="54"/>
      <c r="J23" s="527"/>
      <c r="K23" s="504"/>
      <c r="L23" s="524"/>
      <c r="M23" s="545"/>
      <c r="N23" s="524"/>
    </row>
    <row r="24" spans="1:16" s="495" customFormat="1" ht="47" customHeight="1" x14ac:dyDescent="0.3">
      <c r="A24" s="469"/>
      <c r="B24" s="747"/>
      <c r="C24" s="755"/>
      <c r="D24" s="503" t="s">
        <v>18</v>
      </c>
      <c r="E24" s="748" t="str">
        <f>IF(VLOOKUP(CONCATENATE($C$2,"-",$D24),Languages!$A:$D,1,TRUE)=CONCATENATE($C$2,"-",$D24),VLOOKUP(CONCATENATE($C$2,"-",$D24),Languages!$A:$D,Kybermittari!$C$7,TRUE),NA())</f>
        <v>Uhkien monitoroinnissa ja vastatoimissa hyödynnetään (ja tarvittaessa käynnistetään) organisaation ennalta määrättyjä toimintatapoja ("predefined states of operation") [kts. SITUATION-3h].</v>
      </c>
      <c r="F24" s="748"/>
      <c r="G24" s="748"/>
      <c r="H24" s="493">
        <f>IFERROR(INT(LEFT($I24,1)),0)</f>
        <v>0</v>
      </c>
      <c r="I24" s="54"/>
      <c r="J24" s="527"/>
      <c r="K24" s="504"/>
      <c r="L24" s="524"/>
      <c r="M24" s="545"/>
      <c r="N24" s="524"/>
    </row>
    <row r="25" spans="1:16" s="495" customFormat="1" ht="75" customHeight="1" x14ac:dyDescent="0.3">
      <c r="A25" s="469"/>
      <c r="B25" s="747"/>
      <c r="C25" s="755"/>
      <c r="D25" s="503" t="s">
        <v>197</v>
      </c>
      <c r="E25" s="748" t="str">
        <f>IF(VLOOKUP(CONCATENATE($C$2,"-",$D25),Languages!$A:$D,1,TRUE)=CONCATENATE($C$2,"-",$D25),VLOOKUP(CONCATENATE($C$2,"-",$D25),Languages!$A:$D,Kybermittari!$C$7,TRUE),NA())</f>
        <v>Uhkatietojen jakamisen kannalta olennaiset sidosryhmät on tunnistettu ja sitoutettu perustuen niiden merkitykseen toiminnan jatkuvuudesta (kuten valtio, liitännäiset organisaatiot, toimittajat, toimialan muut organisaatiot, sääntelyviranomaiset, tiedonjako-organisaatio ("information sharing and analysis centres, ISAC") tai organisaation sisäiset tahot).</v>
      </c>
      <c r="F25" s="748"/>
      <c r="G25" s="748"/>
      <c r="H25" s="493">
        <f>IFERROR(INT(LEFT($I25,1)),0)</f>
        <v>0</v>
      </c>
      <c r="I25" s="54"/>
      <c r="J25" s="527"/>
      <c r="K25" s="504"/>
      <c r="L25" s="524"/>
      <c r="M25" s="545"/>
      <c r="N25" s="524"/>
    </row>
    <row r="26" spans="1:16" s="495" customFormat="1" ht="35" customHeight="1" x14ac:dyDescent="0.3">
      <c r="A26" s="469"/>
      <c r="B26" s="747"/>
      <c r="C26" s="756"/>
      <c r="D26" s="503" t="s">
        <v>199</v>
      </c>
      <c r="E26" s="748" t="str">
        <f>IF(VLOOKUP(CONCATENATE($C$2,"-",$D26),Languages!$A:$D,1,TRUE)=CONCATENATE($C$2,"-",$D26),VLOOKUP(CONCATENATE($C$2,"-",$D26),Languages!$A:$D,Kybermittari!$C$7,TRUE),NA())</f>
        <v>Turvallisia ja automatisoituja työkulkuja hyödynnetään uhkatietojen julkaisuun, käsittelyyn, analysointiin sekä uhkatietoihin reagointiin.</v>
      </c>
      <c r="F26" s="748"/>
      <c r="G26" s="748"/>
      <c r="H26" s="493">
        <f>IFERROR(INT(LEFT($I26,1)),0)</f>
        <v>0</v>
      </c>
      <c r="I26" s="54"/>
      <c r="J26" s="527"/>
      <c r="K26" s="504"/>
      <c r="L26" s="524"/>
      <c r="M26" s="545"/>
      <c r="N26" s="524"/>
    </row>
    <row r="27" spans="1:16" s="343" customFormat="1" ht="30" customHeight="1" x14ac:dyDescent="0.25">
      <c r="A27" s="332"/>
      <c r="B27" s="461"/>
      <c r="C27" s="336">
        <v>2</v>
      </c>
      <c r="D27" s="336" t="str">
        <f>IF(VLOOKUP(CONCATENATE($C$2,"-",C27),Languages!$A:$D,1,TRUE)=CONCATENATE($C$2,"-",C27),VLOOKUP(CONCATENATE($C$2,"-",C27),Languages!$A:$D,Kybermittari!$C$7,TRUE),NA())</f>
        <v>Haavoittuvuuksien rajoittaminen</v>
      </c>
      <c r="E27" s="336"/>
      <c r="F27" s="506"/>
      <c r="G27" s="506"/>
      <c r="H27" s="506"/>
      <c r="I27" s="506" t="s">
        <v>19</v>
      </c>
      <c r="J27" s="507"/>
      <c r="K27" s="339"/>
      <c r="L27" s="347"/>
      <c r="M27" s="533"/>
      <c r="N27" s="347"/>
      <c r="O27" s="341"/>
      <c r="P27" s="341"/>
    </row>
    <row r="28" spans="1:16" s="475" customFormat="1" ht="62.5" customHeight="1" x14ac:dyDescent="0.3">
      <c r="A28" s="469"/>
      <c r="B28" s="470"/>
      <c r="C28" s="745" t="str">
        <f>IF(VLOOKUP(CONCATENATE($C$2,"-",$C27,"-0"),Languages!$A:$D,1,TRUE)=CONCATENATE($C$2,"-",$C27,"-0"),VLOOKUP(CONCATENATE($C$2,"-",$C27,"-0"),Languages!$A:$D,Kybermittari!$C$7,TRUE),NA())</f>
        <v>Haavoittuvuuksien rajoittaminen alkaa keräämällä ja analysoimalla haavoittuvuustietoa. Haavoittuvuuksia voidaan kartoittaa esimerkiksi automaattisten skannaustyökalujen avulla, verkkojen tunkeutumistestauksilla, kyberharjoituksilla ja auditoinneilla. Haavoittuvuuksien analysoinnissa tulisi ottaa huomioon sekä paikallinen vaikutus (eli haavoittuvuuden mahdollinen vaikutus suojattavaan kohteeseen itseensä), että suojattavan kohteen merkitys toiminnan osa-alueen toimintavarmuuteen. Haavoittuvuuksia voidaan torjua toteuttamalla suojaavia toimenpiteitä, monitoroimalla uhkatilannetta, asentamalla turvallisuuspäivityksiä tai muilla tavoin.</v>
      </c>
      <c r="D28" s="745"/>
      <c r="E28" s="745"/>
      <c r="F28" s="745"/>
      <c r="G28" s="745"/>
      <c r="H28" s="745"/>
      <c r="I28" s="745"/>
      <c r="J28" s="745"/>
      <c r="K28" s="471"/>
      <c r="L28" s="524"/>
      <c r="M28" s="545"/>
      <c r="N28" s="524"/>
      <c r="O28" s="473"/>
      <c r="P28" s="473"/>
    </row>
    <row r="29" spans="1:16" s="547" customFormat="1" ht="20" customHeight="1" x14ac:dyDescent="0.3">
      <c r="A29" s="483"/>
      <c r="B29" s="476"/>
      <c r="C29" s="477" t="str">
        <f>IF(VLOOKUP("GEN-LEVEL",Languages!$A:$D,1,TRUE)="GEN-LEVEL",VLOOKUP("GEN-LEVEL",Languages!$A:$D,Kybermittari!$C$7,TRUE),NA())</f>
        <v>Taso</v>
      </c>
      <c r="D29" s="477"/>
      <c r="E29" s="478" t="str">
        <f>IF(VLOOKUP("GEN-PRACTICE",Languages!$A:$D,1,TRUE)="GEN-PRACTICE",VLOOKUP("GEN-PRACTICE",Languages!$A:$D,Kybermittari!$C$7,TRUE),NA())</f>
        <v>Käytäntö</v>
      </c>
      <c r="F29" s="479"/>
      <c r="G29" s="480"/>
      <c r="H29" s="481"/>
      <c r="I29" s="478" t="str">
        <f>IF(VLOOKUP("GEN-ANSWER",Languages!$A:$D,1,TRUE)="GEN-ANSWER",VLOOKUP("GEN-ANSWER",Languages!$A:$D,Kybermittari!$C$7,TRUE),NA())</f>
        <v>Vastaus</v>
      </c>
      <c r="J29" s="480" t="str">
        <f>IF(VLOOKUP("GEN-COMMENT",Languages!$A:$D,1,TRUE)="GEN-COMMENT",VLOOKUP("GEN-COMMENT",Languages!$A:$D,Kybermittari!$C$7,TRUE),NA())</f>
        <v>Kommentti ja viittaukset</v>
      </c>
      <c r="K29" s="482"/>
      <c r="L29" s="618"/>
      <c r="M29" s="545"/>
      <c r="N29" s="618"/>
      <c r="O29" s="546"/>
      <c r="P29" s="546"/>
    </row>
    <row r="30" spans="1:16" s="547" customFormat="1" ht="10" customHeight="1" x14ac:dyDescent="0.3">
      <c r="A30" s="483"/>
      <c r="B30" s="476"/>
      <c r="C30" s="487"/>
      <c r="D30" s="487"/>
      <c r="E30" s="488"/>
      <c r="F30" s="489"/>
      <c r="G30" s="490"/>
      <c r="H30" s="491"/>
      <c r="I30" s="488"/>
      <c r="J30" s="490"/>
      <c r="K30" s="482"/>
      <c r="L30" s="618"/>
      <c r="M30" s="545"/>
      <c r="N30" s="618"/>
      <c r="O30" s="546"/>
      <c r="P30" s="546"/>
    </row>
    <row r="31" spans="1:16" s="510" customFormat="1" ht="47" customHeight="1" x14ac:dyDescent="0.3">
      <c r="A31" s="524"/>
      <c r="B31" s="741"/>
      <c r="C31" s="757">
        <v>1</v>
      </c>
      <c r="D31" s="508" t="s">
        <v>20</v>
      </c>
      <c r="E31" s="742" t="str">
        <f>IF(VLOOKUP(CONCATENATE($C$2,"-",$D31),Languages!$A:$D,1,TRUE)=CONCATENATE($C$2,"-",$D31),VLOOKUP(CONCATENATE($C$2,"-",$D31),Languages!$A:$D,Kybermittari!$C$7,TRUE),NA())</f>
        <v>Organisaatio on tunnistanut tiedonlähteet haavoittuvuuksien tunnistamista varten (esim. CERT-FI, ISAC-ryhmät, toimialan muut organisaatiot, toimittajat tai sisäiset arvioinnit) - ainakin tapauskohtaisesti.</v>
      </c>
      <c r="F31" s="742"/>
      <c r="G31" s="742"/>
      <c r="H31" s="493">
        <f>IFERROR(INT(LEFT($I31,1)),0)</f>
        <v>0</v>
      </c>
      <c r="I31" s="54"/>
      <c r="J31" s="526"/>
      <c r="K31" s="509"/>
      <c r="L31" s="524"/>
      <c r="M31" s="545"/>
      <c r="N31" s="524"/>
      <c r="O31" s="495"/>
      <c r="P31" s="495"/>
    </row>
    <row r="32" spans="1:16" s="510" customFormat="1" ht="35" customHeight="1" x14ac:dyDescent="0.3">
      <c r="A32" s="524"/>
      <c r="B32" s="741"/>
      <c r="C32" s="758"/>
      <c r="D32" s="508" t="s">
        <v>21</v>
      </c>
      <c r="E32" s="742" t="str">
        <f>IF(VLOOKUP(CONCATENATE($C$2,"-",$D32),Languages!$A:$D,1,TRUE)=CONCATENATE($C$2,"-",$D32),VLOOKUP(CONCATENATE($C$2,"-",$D32),Languages!$A:$D,Kybermittari!$C$7,TRUE),NA())</f>
        <v>Haavoittuvuustietoa kerätään ja tulkitaan toiminnan osa-alueen näkökulmasta - ainakin tapauskohtaisesti.</v>
      </c>
      <c r="F32" s="742"/>
      <c r="G32" s="742"/>
      <c r="H32" s="493">
        <f>IFERROR(INT(LEFT($I32,1)),0)</f>
        <v>0</v>
      </c>
      <c r="I32" s="54"/>
      <c r="J32" s="527"/>
      <c r="K32" s="509"/>
      <c r="L32" s="483"/>
      <c r="M32" s="545"/>
      <c r="N32" s="523"/>
      <c r="O32" s="495"/>
      <c r="P32" s="495"/>
    </row>
    <row r="33" spans="1:16" s="510" customFormat="1" ht="46" customHeight="1" x14ac:dyDescent="0.3">
      <c r="A33" s="524"/>
      <c r="B33" s="741"/>
      <c r="C33" s="758"/>
      <c r="D33" s="508" t="s">
        <v>22</v>
      </c>
      <c r="E33" s="742" t="str">
        <f>IF(VLOOKUP(CONCATENATE($C$2,"-",$D33),Languages!$A:$D,1,TRUE)=CONCATENATE($C$2,"-",$D33),VLOOKUP(CONCATENATE($C$2,"-",$D33),Languages!$A:$D,Kybermittari!$C$7,TRUE),NA())</f>
        <v>Haavoittuvuuskartoituksia suoritetaan (esim. elinkaaren tai käyttötuen loppupuolella olevien sovellusten ja laitteiden läpikäynti, haavoittuvuusskannaukset, tunkeutumistestaukset) - ainakin tapauskohtaisesti.</v>
      </c>
      <c r="F33" s="742"/>
      <c r="G33" s="742"/>
      <c r="H33" s="493">
        <f>IFERROR(INT(LEFT($I33,1)),0)</f>
        <v>0</v>
      </c>
      <c r="I33" s="54"/>
      <c r="J33" s="527"/>
      <c r="K33" s="509"/>
      <c r="L33" s="483"/>
      <c r="M33" s="545"/>
      <c r="N33" s="523"/>
      <c r="O33" s="495"/>
      <c r="P33" s="495"/>
    </row>
    <row r="34" spans="1:16" s="510" customFormat="1" ht="60" customHeight="1" x14ac:dyDescent="0.3">
      <c r="A34" s="524"/>
      <c r="B34" s="741"/>
      <c r="C34" s="759"/>
      <c r="D34" s="508" t="s">
        <v>23</v>
      </c>
      <c r="E34" s="742" t="str">
        <f>IF(VLOOKUP(CONCATENATE($C$2,"-",$D34),Languages!$A:$D,1,TRUE)=CONCATENATE($C$2,"-",$D34),VLOOKUP(CONCATENATE($C$2,"-",$D34),Languages!$A:$D,Kybermittari!$C$7,TRUE),NA())</f>
        <v>Toiminnan osa-alueen toimintavarmuuden kannalta olennaisille haavoittuvuuksille tehdään tarvittavat toimenpiteet niiden hallitsemiseksi (esim. kontrollien implementointi tai ohjelmistokorjauksien asennus) - ainakin tapauskohtaisesti.</v>
      </c>
      <c r="F34" s="742"/>
      <c r="G34" s="742"/>
      <c r="H34" s="493">
        <f>IFERROR(INT(LEFT($I34,1)),0)</f>
        <v>0</v>
      </c>
      <c r="I34" s="54"/>
      <c r="J34" s="527"/>
      <c r="K34" s="509"/>
      <c r="L34" s="483"/>
      <c r="M34" s="545"/>
      <c r="N34" s="523"/>
      <c r="O34" s="495"/>
      <c r="P34" s="495"/>
    </row>
    <row r="35" spans="1:16" s="510" customFormat="1" ht="10" customHeight="1" x14ac:dyDescent="0.3">
      <c r="A35" s="524"/>
      <c r="B35" s="741"/>
      <c r="C35" s="565"/>
      <c r="D35" s="513"/>
      <c r="E35" s="501"/>
      <c r="F35" s="501"/>
      <c r="G35" s="501"/>
      <c r="H35" s="499"/>
      <c r="I35" s="502"/>
      <c r="J35" s="514"/>
      <c r="K35" s="509"/>
      <c r="L35" s="483"/>
      <c r="M35" s="545"/>
      <c r="N35" s="523"/>
      <c r="O35" s="495"/>
      <c r="P35" s="495"/>
    </row>
    <row r="36" spans="1:16" s="510" customFormat="1" ht="35" customHeight="1" x14ac:dyDescent="0.3">
      <c r="A36" s="524"/>
      <c r="B36" s="741"/>
      <c r="C36" s="757">
        <v>2</v>
      </c>
      <c r="D36" s="508" t="s">
        <v>24</v>
      </c>
      <c r="E36" s="742" t="str">
        <f>IF(VLOOKUP(CONCATENATE($C$2,"-",$D36),Languages!$A:$D,1,TRUE)=CONCATENATE($C$2,"-",$D36),VLOOKUP(CONCATENATE($C$2,"-",$D36),Languages!$A:$D,Kybermittari!$C$7,TRUE),NA())</f>
        <v>Organisaatio monitoroi kaikkia niitä haavoittuvuustiedon lähteitä, jotka yhdessä kattavat kaikki toiminnan osa-alueen kannalta tärkeät suojattavat kohteet.</v>
      </c>
      <c r="F36" s="742"/>
      <c r="G36" s="742"/>
      <c r="H36" s="493">
        <f>IFERROR(INT(LEFT($I36,1)),0)</f>
        <v>0</v>
      </c>
      <c r="I36" s="54"/>
      <c r="J36" s="527"/>
      <c r="K36" s="509"/>
      <c r="L36" s="483"/>
      <c r="M36" s="545"/>
      <c r="N36" s="523"/>
      <c r="O36" s="495"/>
      <c r="P36" s="495"/>
    </row>
    <row r="37" spans="1:16" s="510" customFormat="1" ht="35" customHeight="1" x14ac:dyDescent="0.3">
      <c r="A37" s="524"/>
      <c r="B37" s="741"/>
      <c r="C37" s="758"/>
      <c r="D37" s="508" t="s">
        <v>112</v>
      </c>
      <c r="E37" s="742" t="str">
        <f>IF(VLOOKUP(CONCATENATE($C$2,"-",$D37),Languages!$A:$D,1,TRUE)=CONCATENATE($C$2,"-",$D37),VLOOKUP(CONCATENATE($C$2,"-",$D37),Languages!$A:$D,Kybermittari!$C$7,TRUE),NA())</f>
        <v>Haavoittuvuuskartoituksia suoritetaan organisaation määrittelemin aikavälein.</v>
      </c>
      <c r="F37" s="742"/>
      <c r="G37" s="742"/>
      <c r="H37" s="493">
        <f>IFERROR(INT(LEFT($I37,1)),0)</f>
        <v>0</v>
      </c>
      <c r="I37" s="54"/>
      <c r="J37" s="527"/>
      <c r="K37" s="509"/>
      <c r="L37" s="524"/>
      <c r="M37" s="545"/>
      <c r="N37" s="524"/>
      <c r="O37" s="495"/>
      <c r="P37" s="495"/>
    </row>
    <row r="38" spans="1:16" s="510" customFormat="1" ht="58" customHeight="1" x14ac:dyDescent="0.3">
      <c r="A38" s="524"/>
      <c r="B38" s="741"/>
      <c r="C38" s="758"/>
      <c r="D38" s="508" t="s">
        <v>176</v>
      </c>
      <c r="E38" s="742" t="str">
        <f>IF(VLOOKUP(CONCATENATE($C$2,"-",$D38),Languages!$A:$D,1,TRUE)=CONCATENATE($C$2,"-",$D38),VLOOKUP(CONCATENATE($C$2,"-",$D38),Languages!$A:$D,Kybermittari!$C$7,TRUE),NA())</f>
        <v>Tunnistetut haavoittuvuudet analysoidaan, priorisoidaan ja niihin vastataan tarvittavin keinoin. Työkaluna käytetään esimerkiksi NIST Common Vulnerability Scoring System-määrittelyä sovellushaavoittuvuuksiin tai sisäisiä ohjeita muun tyyppisiin haavoittuvuuksiin.</v>
      </c>
      <c r="F38" s="742"/>
      <c r="G38" s="742"/>
      <c r="H38" s="493">
        <f>IFERROR(INT(LEFT($I38,1)),0)</f>
        <v>0</v>
      </c>
      <c r="I38" s="54"/>
      <c r="J38" s="527"/>
      <c r="K38" s="509"/>
      <c r="L38" s="524"/>
      <c r="M38" s="545"/>
      <c r="N38" s="524"/>
      <c r="O38" s="495"/>
      <c r="P38" s="495"/>
    </row>
    <row r="39" spans="1:16" s="510" customFormat="1" ht="35" customHeight="1" x14ac:dyDescent="0.3">
      <c r="A39" s="524"/>
      <c r="B39" s="741"/>
      <c r="C39" s="758"/>
      <c r="D39" s="508" t="s">
        <v>178</v>
      </c>
      <c r="E39" s="742" t="str">
        <f>IF(VLOOKUP(CONCATENATE($C$2,"-",$D39),Languages!$A:$D,1,TRUE)=CONCATENATE($C$2,"-",$D39),VLOOKUP(CONCATENATE($C$2,"-",$D39),Languages!$A:$D,Kybermittari!$C$7,TRUE),NA())</f>
        <v>Ohjelmistokorjausten aiheuttama operatiivinen vaikutus arvioidaan ennen niiden asentamista.</v>
      </c>
      <c r="F39" s="742"/>
      <c r="G39" s="742"/>
      <c r="H39" s="493">
        <f>IFERROR(INT(LEFT($I39,1)),0)</f>
        <v>0</v>
      </c>
      <c r="I39" s="54"/>
      <c r="J39" s="527"/>
      <c r="K39" s="509"/>
      <c r="L39" s="524"/>
      <c r="M39" s="545"/>
      <c r="N39" s="524"/>
      <c r="O39" s="495"/>
      <c r="P39" s="495"/>
    </row>
    <row r="40" spans="1:16" s="510" customFormat="1" ht="35" customHeight="1" x14ac:dyDescent="0.3">
      <c r="A40" s="524"/>
      <c r="B40" s="741"/>
      <c r="C40" s="759"/>
      <c r="D40" s="508" t="s">
        <v>209</v>
      </c>
      <c r="E40" s="742" t="str">
        <f>IF(VLOOKUP(CONCATENATE($C$2,"-",$D40),Languages!$A:$D,1,TRUE)=CONCATENATE($C$2,"-",$D40),VLOOKUP(CONCATENATE($C$2,"-",$D40),Languages!$A:$D,Kybermittari!$C$7,TRUE),NA())</f>
        <v>Tietoa löydetyistä haavoittuvuuksista jaetaan organisaation määrittelemille sidosryhmille.</v>
      </c>
      <c r="F40" s="742"/>
      <c r="G40" s="742"/>
      <c r="H40" s="493">
        <f>IFERROR(INT(LEFT($I40,1)),0)</f>
        <v>0</v>
      </c>
      <c r="I40" s="54"/>
      <c r="J40" s="527"/>
      <c r="K40" s="509"/>
      <c r="L40" s="524"/>
      <c r="M40" s="545"/>
      <c r="N40" s="524"/>
      <c r="O40" s="495"/>
      <c r="P40" s="495"/>
    </row>
    <row r="41" spans="1:16" s="510" customFormat="1" ht="10" customHeight="1" x14ac:dyDescent="0.3">
      <c r="A41" s="524"/>
      <c r="B41" s="741"/>
      <c r="C41" s="565"/>
      <c r="D41" s="513"/>
      <c r="E41" s="501"/>
      <c r="F41" s="501"/>
      <c r="G41" s="501"/>
      <c r="H41" s="499"/>
      <c r="I41" s="502"/>
      <c r="J41" s="514"/>
      <c r="K41" s="509"/>
      <c r="L41" s="524"/>
      <c r="M41" s="545"/>
      <c r="N41" s="524"/>
      <c r="O41" s="495"/>
      <c r="P41" s="495"/>
    </row>
    <row r="42" spans="1:16" s="510" customFormat="1" ht="47" customHeight="1" x14ac:dyDescent="0.3">
      <c r="A42" s="524"/>
      <c r="B42" s="741"/>
      <c r="C42" s="757">
        <v>3</v>
      </c>
      <c r="D42" s="508" t="s">
        <v>211</v>
      </c>
      <c r="E42" s="742" t="str">
        <f>IF(VLOOKUP(CONCATENATE($C$2,"-",$D42),Languages!$A:$D,1,TRUE)=CONCATENATE($C$2,"-",$D42),VLOOKUP(CONCATENATE($C$2,"-",$D42),Languages!$A:$D,Kybermittari!$C$7,TRUE),NA())</f>
        <v>Haavoittuvuuskartoituksia suoritetaan kaikille toiminnan osa-alueen toimintavarmuuden kannalta tärkeille suojattaville kohteille organisaation määrittelemin aikavälein.</v>
      </c>
      <c r="F42" s="742"/>
      <c r="G42" s="742"/>
      <c r="H42" s="493">
        <f>IFERROR(INT(LEFT($I42,1)),0)</f>
        <v>0</v>
      </c>
      <c r="I42" s="54"/>
      <c r="J42" s="527"/>
      <c r="K42" s="509"/>
      <c r="L42" s="524"/>
      <c r="M42" s="545"/>
      <c r="N42" s="524"/>
      <c r="O42" s="495"/>
      <c r="P42" s="495"/>
    </row>
    <row r="43" spans="1:16" s="510" customFormat="1" ht="35" customHeight="1" x14ac:dyDescent="0.3">
      <c r="A43" s="524"/>
      <c r="B43" s="741"/>
      <c r="C43" s="758"/>
      <c r="D43" s="508" t="s">
        <v>213</v>
      </c>
      <c r="E43" s="742" t="str">
        <f>IF(VLOOKUP(CONCATENATE($C$2,"-",$D43),Languages!$A:$D,1,TRUE)=CONCATENATE($C$2,"-",$D43),VLOOKUP(CONCATENATE($C$2,"-",$D43),Languages!$A:$D,Kybermittari!$C$7,TRUE),NA())</f>
        <v>Haavoittuvuuskartoitukset suorittaa operatiivisesta organisaatiosta riippumaton taho.</v>
      </c>
      <c r="F43" s="742"/>
      <c r="G43" s="742"/>
      <c r="H43" s="493">
        <f>IFERROR(INT(LEFT($I43,1)),0)</f>
        <v>0</v>
      </c>
      <c r="I43" s="54"/>
      <c r="J43" s="527"/>
      <c r="K43" s="509"/>
      <c r="L43" s="524"/>
      <c r="M43" s="545"/>
      <c r="N43" s="524"/>
      <c r="O43" s="495"/>
      <c r="P43" s="495"/>
    </row>
    <row r="44" spans="1:16" s="510" customFormat="1" ht="35" customHeight="1" x14ac:dyDescent="0.3">
      <c r="A44" s="524"/>
      <c r="B44" s="741"/>
      <c r="C44" s="758"/>
      <c r="D44" s="508" t="s">
        <v>215</v>
      </c>
      <c r="E44" s="742" t="str">
        <f>IF(VLOOKUP(CONCATENATE($C$2,"-",$D44),Languages!$A:$D,1,TRUE)=CONCATENATE($C$2,"-",$D44),VLOOKUP(CONCATENATE($C$2,"-",$D44),Languages!$A:$D,Kybermittari!$C$7,TRUE),NA())</f>
        <v>Tunnistetut haavoittuvuudet, jotka aiheuttavat riskin toiminnan osa-alueelle, viedään riskienhallintaprosessiin käsiteltäväksi [kts. RISK-1e].</v>
      </c>
      <c r="F44" s="742"/>
      <c r="G44" s="742"/>
      <c r="H44" s="493">
        <f>IFERROR(INT(LEFT($I44,1)),0)</f>
        <v>0</v>
      </c>
      <c r="I44" s="54"/>
      <c r="J44" s="527"/>
      <c r="K44" s="509"/>
      <c r="L44" s="618"/>
      <c r="M44" s="545"/>
      <c r="N44" s="618"/>
      <c r="O44" s="495"/>
      <c r="P44" s="495"/>
    </row>
    <row r="45" spans="1:16" s="510" customFormat="1" ht="47" customHeight="1" x14ac:dyDescent="0.3">
      <c r="A45" s="524"/>
      <c r="B45" s="741"/>
      <c r="C45" s="759"/>
      <c r="D45" s="508" t="s">
        <v>217</v>
      </c>
      <c r="E45" s="742" t="str">
        <f>IF(VLOOKUP(CONCATENATE($C$2,"-",$D45),Languages!$A:$D,1,TRUE)=CONCATENATE($C$2,"-",$D45),VLOOKUP(CONCATENATE($C$2,"-",$D45),Languages!$A:$D,Kybermittari!$C$7,TRUE),NA())</f>
        <v>Riskien jatkuva monitorointi kattaa haavoittuvuuksille tehtyjen toimenpiteiden (esim. ohjelmistokorjausten asentaminen tai muut toimenpiteet) arvioinnin sekä varmistamisen silloin kun se on tarpeellista.</v>
      </c>
      <c r="F45" s="742"/>
      <c r="G45" s="742"/>
      <c r="H45" s="493">
        <f>IFERROR(INT(LEFT($I45,1)),0)</f>
        <v>0</v>
      </c>
      <c r="I45" s="54"/>
      <c r="J45" s="527"/>
      <c r="K45" s="509"/>
      <c r="L45" s="524"/>
      <c r="M45" s="545"/>
      <c r="N45" s="524"/>
      <c r="O45" s="495"/>
      <c r="P45" s="495"/>
    </row>
    <row r="46" spans="1:16" s="343" customFormat="1" ht="30" customHeight="1" x14ac:dyDescent="0.25">
      <c r="A46" s="332"/>
      <c r="B46" s="461"/>
      <c r="C46" s="336">
        <v>3</v>
      </c>
      <c r="D46" s="336" t="str">
        <f>IF(VLOOKUP(CONCATENATE($C$2,"-",C46),Languages!$A:$D,1,TRUE)=CONCATENATE($C$2,"-",C46),VLOOKUP(CONCATENATE($C$2,"-",C46),Languages!$A:$D,Kybermittari!$C$7,TRUE),NA())</f>
        <v>Yleisiä hallintatoimia</v>
      </c>
      <c r="E46" s="336"/>
      <c r="F46" s="506"/>
      <c r="G46" s="506"/>
      <c r="H46" s="506"/>
      <c r="I46" s="506" t="s">
        <v>19</v>
      </c>
      <c r="J46" s="507"/>
      <c r="K46" s="339"/>
      <c r="L46" s="332"/>
      <c r="M46" s="533"/>
      <c r="N46" s="636"/>
      <c r="O46" s="341"/>
      <c r="P46" s="341"/>
    </row>
    <row r="47" spans="1:16" s="475" customFormat="1" ht="46.5" customHeight="1" x14ac:dyDescent="0.3">
      <c r="A47" s="524"/>
      <c r="B47" s="525"/>
      <c r="C47" s="745" t="str">
        <f>IF(VLOOKUP(CONCATENATE($C$2,"-",$C46,"-0"),Languages!$A:$D,1,TRUE)=CONCATENATE($C$2,"-",$C46,"-0"),VLOOKUP(CONCATENATE($C$2,"-",$C46,"-0"),Languages!$A:$D,Kybermittari!$C$7,TRUE),NA())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47" s="745"/>
      <c r="E47" s="745"/>
      <c r="F47" s="745"/>
      <c r="G47" s="745"/>
      <c r="H47" s="745"/>
      <c r="I47" s="745"/>
      <c r="J47" s="745"/>
      <c r="K47" s="471"/>
      <c r="L47" s="483"/>
      <c r="M47" s="545"/>
      <c r="N47" s="523"/>
      <c r="O47" s="473"/>
      <c r="P47" s="473"/>
    </row>
    <row r="48" spans="1:16" s="547" customFormat="1" ht="20" customHeight="1" x14ac:dyDescent="0.3">
      <c r="A48" s="483"/>
      <c r="B48" s="476"/>
      <c r="C48" s="477" t="str">
        <f>IF(VLOOKUP("GEN-LEVEL",Languages!$A:$D,1,TRUE)="GEN-LEVEL",VLOOKUP("GEN-LEVEL",Languages!$A:$D,Kybermittari!$C$7,TRUE),NA())</f>
        <v>Taso</v>
      </c>
      <c r="D48" s="477"/>
      <c r="E48" s="478" t="str">
        <f>IF(VLOOKUP("GEN-PRACTICE",Languages!$A:$D,1,TRUE)="GEN-PRACTICE",VLOOKUP("GEN-PRACTICE",Languages!$A:$D,Kybermittari!$C$7,TRUE),NA())</f>
        <v>Käytäntö</v>
      </c>
      <c r="F48" s="479"/>
      <c r="G48" s="480"/>
      <c r="H48" s="481"/>
      <c r="I48" s="478" t="str">
        <f>IF(VLOOKUP("GEN-ANSWER",Languages!$A:$D,1,TRUE)="GEN-ANSWER",VLOOKUP("GEN-ANSWER",Languages!$A:$D,Kybermittari!$C$7,TRUE),NA())</f>
        <v>Vastaus</v>
      </c>
      <c r="J48" s="480" t="str">
        <f>IF(VLOOKUP("GEN-COMMENT",Languages!$A:$D,1,TRUE)="GEN-COMMENT",VLOOKUP("GEN-COMMENT",Languages!$A:$D,Kybermittari!$C$7,TRUE),NA())</f>
        <v>Kommentti ja viittaukset</v>
      </c>
      <c r="K48" s="482"/>
      <c r="L48" s="483"/>
      <c r="M48" s="545"/>
      <c r="N48" s="523"/>
      <c r="O48" s="546"/>
      <c r="P48" s="546"/>
    </row>
    <row r="49" spans="1:16" s="547" customFormat="1" ht="10" customHeight="1" x14ac:dyDescent="0.3">
      <c r="A49" s="483"/>
      <c r="B49" s="476"/>
      <c r="C49" s="477"/>
      <c r="D49" s="487"/>
      <c r="E49" s="488"/>
      <c r="F49" s="489"/>
      <c r="G49" s="490"/>
      <c r="H49" s="491"/>
      <c r="I49" s="488"/>
      <c r="J49" s="490"/>
      <c r="K49" s="482"/>
      <c r="L49" s="483"/>
      <c r="M49" s="545"/>
      <c r="N49" s="523"/>
      <c r="O49" s="546"/>
      <c r="P49" s="546"/>
    </row>
    <row r="50" spans="1:16" s="547" customFormat="1" ht="20" customHeight="1" x14ac:dyDescent="0.3">
      <c r="A50" s="483"/>
      <c r="B50" s="476"/>
      <c r="C50" s="557">
        <v>1</v>
      </c>
      <c r="D50" s="558"/>
      <c r="E50" s="559"/>
      <c r="F50" s="560"/>
      <c r="G50" s="561"/>
      <c r="H50" s="562"/>
      <c r="I50" s="559"/>
      <c r="J50" s="563"/>
      <c r="K50" s="482"/>
      <c r="L50" s="483"/>
      <c r="M50" s="545"/>
      <c r="N50" s="523"/>
      <c r="O50" s="546"/>
      <c r="P50" s="546"/>
    </row>
    <row r="51" spans="1:16" s="547" customFormat="1" ht="10" customHeight="1" x14ac:dyDescent="0.3">
      <c r="A51" s="483"/>
      <c r="B51" s="476"/>
      <c r="C51" s="477"/>
      <c r="D51" s="487"/>
      <c r="E51" s="488"/>
      <c r="F51" s="489"/>
      <c r="G51" s="490"/>
      <c r="H51" s="491"/>
      <c r="I51" s="488"/>
      <c r="J51" s="490"/>
      <c r="K51" s="482"/>
      <c r="L51" s="483"/>
      <c r="M51" s="545"/>
      <c r="N51" s="523"/>
      <c r="O51" s="546"/>
      <c r="P51" s="546"/>
    </row>
    <row r="52" spans="1:16" s="510" customFormat="1" ht="35" customHeight="1" x14ac:dyDescent="0.3">
      <c r="A52" s="524"/>
      <c r="B52" s="741"/>
      <c r="C52" s="760">
        <v>2</v>
      </c>
      <c r="D52" s="508" t="s">
        <v>25</v>
      </c>
      <c r="E52" s="742" t="str">
        <f>IF(VLOOKUP(CONCATENATE($C$2,"-",$D52),Languages!$A:$D,1,TRUE)=CONCATENATE($C$2,"-",$D52),VLOOKUP(CONCATENATE($C$2,"-",$D52),Languages!$A:$D,Kybermittari!$C$7,TRUE),NA())</f>
        <v>Uhkien ja haavoittuvuuksien hallinnan (THREAT) osioon liittyen on määritetty dokumentoidut käytännöt, joita noudatetaan ja pidetään yllä.</v>
      </c>
      <c r="F52" s="742"/>
      <c r="G52" s="742"/>
      <c r="H52" s="493">
        <f>IFERROR(INT(LEFT($I52,1)),0)</f>
        <v>0</v>
      </c>
      <c r="I52" s="54"/>
      <c r="J52" s="527"/>
      <c r="K52" s="509"/>
      <c r="L52" s="483"/>
      <c r="M52" s="545"/>
      <c r="N52" s="523"/>
      <c r="O52" s="495"/>
      <c r="P52" s="495"/>
    </row>
    <row r="53" spans="1:16" s="510" customFormat="1" ht="35" customHeight="1" x14ac:dyDescent="0.3">
      <c r="A53" s="524"/>
      <c r="B53" s="741"/>
      <c r="C53" s="760"/>
      <c r="D53" s="508" t="s">
        <v>26</v>
      </c>
      <c r="E53" s="742" t="str">
        <f>IF(VLOOKUP(CONCATENATE($C$2,"-",$D53),Languages!$A:$D,1,TRUE)=CONCATENATE($C$2,"-",$D53),VLOOKUP(CONCATENATE($C$2,"-",$D53),Languages!$A:$D,Kybermittari!$C$7,TRUE),NA())</f>
        <v>Uhkien ja haavoittuvuuksien hallinnan (THREAT) osion toimintaan on saatavilla riittävät resurssit (henkilöstö, rahoitus ja työkalut).</v>
      </c>
      <c r="F53" s="742"/>
      <c r="G53" s="742"/>
      <c r="H53" s="493">
        <f>IFERROR(INT(LEFT($I53,1)),0)</f>
        <v>0</v>
      </c>
      <c r="I53" s="54"/>
      <c r="J53" s="527"/>
      <c r="K53" s="509"/>
      <c r="L53" s="524"/>
      <c r="M53" s="545"/>
      <c r="N53" s="524"/>
      <c r="O53" s="495"/>
      <c r="P53" s="495"/>
    </row>
    <row r="54" spans="1:16" s="510" customFormat="1" ht="35" customHeight="1" x14ac:dyDescent="0.3">
      <c r="A54" s="524"/>
      <c r="B54" s="741"/>
      <c r="C54" s="760"/>
      <c r="D54" s="508" t="s">
        <v>27</v>
      </c>
      <c r="E54" s="742" t="str">
        <f>IF(VLOOKUP(CONCATENATE($C$2,"-",$D54),Languages!$A:$D,1,TRUE)=CONCATENATE($C$2,"-",$D54),VLOOKUP(CONCATENATE($C$2,"-",$D54),Languages!$A:$D,Kybermittari!$C$7,TRUE),NA())</f>
        <v>Uhkien ja haavoittuvuuksien hallinnan (THREAT) osion toimintaa suorittavilla työntekijöillä on riittävät tiedot ja taidot tehtäviensä suorittamiseen.</v>
      </c>
      <c r="F54" s="742"/>
      <c r="G54" s="742"/>
      <c r="H54" s="493">
        <f>IFERROR(INT(LEFT($I54,1)),0)</f>
        <v>0</v>
      </c>
      <c r="I54" s="54"/>
      <c r="J54" s="527"/>
      <c r="K54" s="509"/>
      <c r="L54" s="524"/>
      <c r="M54" s="545"/>
      <c r="N54" s="524"/>
      <c r="O54" s="495"/>
      <c r="P54" s="495"/>
    </row>
    <row r="55" spans="1:16" s="510" customFormat="1" ht="47" customHeight="1" x14ac:dyDescent="0.3">
      <c r="A55" s="524"/>
      <c r="B55" s="741"/>
      <c r="C55" s="760"/>
      <c r="D55" s="508" t="s">
        <v>28</v>
      </c>
      <c r="E55" s="742" t="str">
        <f>IF(VLOOKUP(CONCATENATE($C$2,"-",$D55),Languages!$A:$D,1,TRUE)=CONCATENATE($C$2,"-",$D55),VLOOKUP(CONCATENATE($C$2,"-",$D55),Languages!$A:$D,Kybermittari!$C$7,TRUE),NA())</f>
        <v>Uhkien ja haavoittuvuuksien hallinnan (THREAT) osion toiminnan suorittamiseen liittyvät vastuut ja valtuudet on osoitettu nimetyille työntekijöille.</v>
      </c>
      <c r="F55" s="742"/>
      <c r="G55" s="742"/>
      <c r="H55" s="493">
        <f>IFERROR(INT(LEFT($I55,1)),0)</f>
        <v>0</v>
      </c>
      <c r="I55" s="54"/>
      <c r="J55" s="527"/>
      <c r="K55" s="509"/>
      <c r="L55" s="524"/>
      <c r="M55" s="545"/>
      <c r="N55" s="524"/>
      <c r="O55" s="495"/>
      <c r="P55" s="495"/>
    </row>
    <row r="56" spans="1:16" s="510" customFormat="1" ht="10" customHeight="1" x14ac:dyDescent="0.3">
      <c r="A56" s="524"/>
      <c r="B56" s="511"/>
      <c r="C56" s="565"/>
      <c r="D56" s="513"/>
      <c r="E56" s="501"/>
      <c r="F56" s="501"/>
      <c r="G56" s="501"/>
      <c r="H56" s="499"/>
      <c r="I56" s="502"/>
      <c r="J56" s="514"/>
      <c r="K56" s="509"/>
      <c r="L56" s="524"/>
      <c r="M56" s="545"/>
      <c r="N56" s="524"/>
      <c r="O56" s="495"/>
      <c r="P56" s="495"/>
    </row>
    <row r="57" spans="1:16" s="510" customFormat="1" ht="60" customHeight="1" x14ac:dyDescent="0.3">
      <c r="A57" s="524"/>
      <c r="B57" s="741"/>
      <c r="C57" s="760">
        <v>3</v>
      </c>
      <c r="D57" s="508" t="s">
        <v>29</v>
      </c>
      <c r="E57" s="742" t="str">
        <f>IF(VLOOKUP(CONCATENATE($C$2,"-",$D57),Languages!$A:$D,1,TRUE)=CONCATENATE($C$2,"-",$D57),VLOOKUP(CONCATENATE($C$2,"-",$D57),Languages!$A:$D,Kybermittari!$C$7,TRUE),NA())</f>
        <v>Uhkien ja haavoittuvuuksien hallinnan (THREAT) osion toiminta perustuu organisaation määrittämään ja ylläpitämään johtotason politiikkaan (tai vastaavaan ohjeistukseen), jossa asetetaan nimenomaisia vaatimuksia tämän osion toiminnalle.</v>
      </c>
      <c r="F57" s="742"/>
      <c r="G57" s="742"/>
      <c r="H57" s="493">
        <f>IFERROR(INT(LEFT($I57,1)),0)</f>
        <v>0</v>
      </c>
      <c r="I57" s="54"/>
      <c r="J57" s="527"/>
      <c r="K57" s="509"/>
      <c r="L57" s="524"/>
      <c r="M57" s="545"/>
      <c r="N57" s="524"/>
      <c r="O57" s="495"/>
      <c r="P57" s="495"/>
    </row>
    <row r="58" spans="1:16" s="510" customFormat="1" ht="47" customHeight="1" x14ac:dyDescent="0.3">
      <c r="A58" s="524"/>
      <c r="B58" s="741"/>
      <c r="C58" s="760"/>
      <c r="D58" s="508" t="s">
        <v>30</v>
      </c>
      <c r="E58" s="742" t="str">
        <f>IF(VLOOKUP(CONCATENATE($C$2,"-",$D58),Languages!$A:$D,1,TRUE)=CONCATENATE($C$2,"-",$D58),VLOOKUP(CONCATENATE($C$2,"-",$D58),Languages!$A:$D,Kybermittari!$C$7,TRUE),NA())</f>
        <v>Uhkien ja haavoittuvuuksien hallinnan (THREAT) osion toiminnalle on määritetty suoriutumistavoitteet, joiden toteutumista seurataan [kts. PROGRAM-1b].</v>
      </c>
      <c r="F58" s="742"/>
      <c r="G58" s="742"/>
      <c r="H58" s="493">
        <f>IFERROR(INT(LEFT($I58,1)),0)</f>
        <v>0</v>
      </c>
      <c r="I58" s="54"/>
      <c r="J58" s="527"/>
      <c r="K58" s="509"/>
      <c r="L58" s="524"/>
      <c r="M58" s="545"/>
      <c r="N58" s="524"/>
      <c r="O58" s="495"/>
      <c r="P58" s="495"/>
    </row>
    <row r="59" spans="1:16" s="510" customFormat="1" ht="35" customHeight="1" x14ac:dyDescent="0.3">
      <c r="A59" s="524"/>
      <c r="B59" s="741"/>
      <c r="C59" s="760"/>
      <c r="D59" s="508" t="s">
        <v>31</v>
      </c>
      <c r="E59" s="742" t="str">
        <f>IF(VLOOKUP(CONCATENATE($C$2,"-",$D59),Languages!$A:$D,1,TRUE)=CONCATENATE($C$2,"-",$D59),VLOOKUP(CONCATENATE($C$2,"-",$D59),Languages!$A:$D,Kybermittari!$C$7,TRUE),NA())</f>
        <v>Uhkien ja haavoittuvuuksien hallinnan (THREAT) osioon liittyvät käytännöt on standardoitu läpi koko organisaation ja niitä kehitetään aktiivisesti.</v>
      </c>
      <c r="F59" s="742"/>
      <c r="G59" s="742"/>
      <c r="H59" s="493">
        <f>IFERROR(INT(LEFT($I59,1)),0)</f>
        <v>0</v>
      </c>
      <c r="I59" s="54"/>
      <c r="J59" s="527"/>
      <c r="K59" s="509"/>
      <c r="L59" s="524"/>
      <c r="M59" s="545"/>
      <c r="N59" s="524"/>
      <c r="O59" s="495"/>
      <c r="P59" s="495"/>
    </row>
    <row r="60" spans="1:16" x14ac:dyDescent="0.25">
      <c r="A60" s="347"/>
      <c r="B60" s="619"/>
      <c r="C60" s="620"/>
      <c r="D60" s="621"/>
      <c r="E60" s="622"/>
      <c r="F60" s="622"/>
      <c r="G60" s="622"/>
      <c r="H60" s="623"/>
      <c r="I60" s="624"/>
      <c r="J60" s="625"/>
      <c r="K60" s="626"/>
      <c r="L60" s="347"/>
      <c r="M60" s="533"/>
      <c r="N60" s="347"/>
    </row>
    <row r="61" spans="1:16" x14ac:dyDescent="0.25">
      <c r="A61" s="347"/>
      <c r="B61" s="347"/>
      <c r="C61" s="347"/>
      <c r="D61" s="347"/>
      <c r="E61" s="347"/>
      <c r="F61" s="347"/>
      <c r="G61" s="347"/>
      <c r="H61" s="627"/>
      <c r="I61" s="347"/>
      <c r="J61" s="347"/>
      <c r="K61" s="347"/>
      <c r="L61" s="347"/>
      <c r="M61" s="533"/>
      <c r="N61" s="347"/>
    </row>
    <row r="62" spans="1:16" x14ac:dyDescent="0.25">
      <c r="L62" s="631"/>
      <c r="M62" s="630"/>
      <c r="N62" s="349"/>
    </row>
    <row r="63" spans="1:16" x14ac:dyDescent="0.25">
      <c r="L63" s="631"/>
      <c r="M63" s="630"/>
      <c r="N63" s="349"/>
    </row>
  </sheetData>
  <sheetProtection sheet="1" objects="1" scenarios="1"/>
  <mergeCells count="51">
    <mergeCell ref="C31:C34"/>
    <mergeCell ref="C22:C26"/>
    <mergeCell ref="C17:C20"/>
    <mergeCell ref="C13:C15"/>
    <mergeCell ref="C5:J5"/>
    <mergeCell ref="E24:G24"/>
    <mergeCell ref="E25:G25"/>
    <mergeCell ref="E34:G34"/>
    <mergeCell ref="C28:J28"/>
    <mergeCell ref="C10:J10"/>
    <mergeCell ref="C47:J47"/>
    <mergeCell ref="B52:B55"/>
    <mergeCell ref="C52:C55"/>
    <mergeCell ref="E52:G52"/>
    <mergeCell ref="E53:G53"/>
    <mergeCell ref="E54:G54"/>
    <mergeCell ref="E55:G55"/>
    <mergeCell ref="B57:B59"/>
    <mergeCell ref="C57:C59"/>
    <mergeCell ref="E57:G57"/>
    <mergeCell ref="E58:G58"/>
    <mergeCell ref="E59:G59"/>
    <mergeCell ref="B31:B32"/>
    <mergeCell ref="E31:G31"/>
    <mergeCell ref="E32:G32"/>
    <mergeCell ref="B33:B45"/>
    <mergeCell ref="E33:G33"/>
    <mergeCell ref="E44:G44"/>
    <mergeCell ref="E45:G45"/>
    <mergeCell ref="C42:C45"/>
    <mergeCell ref="C36:C40"/>
    <mergeCell ref="E36:G36"/>
    <mergeCell ref="E37:G37"/>
    <mergeCell ref="E38:G38"/>
    <mergeCell ref="E39:G39"/>
    <mergeCell ref="E40:G40"/>
    <mergeCell ref="E42:G42"/>
    <mergeCell ref="E43:G43"/>
    <mergeCell ref="B20:B26"/>
    <mergeCell ref="E20:G20"/>
    <mergeCell ref="E22:G22"/>
    <mergeCell ref="E23:G23"/>
    <mergeCell ref="E26:G26"/>
    <mergeCell ref="B13:B14"/>
    <mergeCell ref="E13:G13"/>
    <mergeCell ref="E14:G14"/>
    <mergeCell ref="B15:B19"/>
    <mergeCell ref="E15:G15"/>
    <mergeCell ref="E17:G17"/>
    <mergeCell ref="E18:G18"/>
    <mergeCell ref="E19:G19"/>
  </mergeCells>
  <conditionalFormatting sqref="H50">
    <cfRule type="containsText" dxfId="58" priority="5" operator="containsText" text="0">
      <formula>NOT(ISERROR(SEARCH("0",H50)))</formula>
    </cfRule>
  </conditionalFormatting>
  <conditionalFormatting sqref="H1:H1048576">
    <cfRule type="containsText" dxfId="57"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76FB6613-1913-4181-ABBA-B090D95D214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H50</xm:sqref>
        </x14:conditionalFormatting>
        <x14:conditionalFormatting xmlns:xm="http://schemas.microsoft.com/office/excel/2006/main">
          <x14:cfRule type="iconSet" priority="4" id="{095DB739-B76E-4A8E-BFAE-D5896F62EB0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I13:I15 I17:I20 I22:I26 I31:I34 I36:I40 I42:I45 I52:I55 I57:I59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7"/>
  <sheetViews>
    <sheetView showGridLines="0" zoomScaleNormal="100" workbookViewId="0">
      <selection activeCell="I14" sqref="I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72</v>
      </c>
      <c r="D2" s="591"/>
      <c r="E2" s="592"/>
      <c r="F2" s="592"/>
      <c r="G2" s="592"/>
      <c r="H2" s="593"/>
      <c r="I2" s="593"/>
      <c r="J2" s="594"/>
      <c r="K2" s="595"/>
      <c r="L2" s="332"/>
      <c r="M2" s="533"/>
      <c r="N2" s="332"/>
      <c r="O2" s="341"/>
      <c r="P2" s="341"/>
    </row>
    <row r="3" spans="1:16" s="598" customFormat="1" ht="25" customHeight="1" x14ac:dyDescent="0.35">
      <c r="A3" s="596"/>
      <c r="B3" s="597"/>
      <c r="C3" s="321" t="str">
        <f>IF(VLOOKUP($C$2,Languages!$A:$D,1,TRUE)=$C$2,VLOOKUP($C$2,Languages!$A:$D,Kybermittari!$C$7,TRUE),NA())</f>
        <v>Tilannekuva</v>
      </c>
      <c r="D3" s="449"/>
      <c r="E3" s="450"/>
      <c r="G3" s="599"/>
      <c r="H3" s="600"/>
      <c r="I3" s="600"/>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66" customHeight="1" x14ac:dyDescent="0.25">
      <c r="A5" s="344"/>
      <c r="B5" s="532"/>
      <c r="C5" s="750" t="str">
        <f>IF(VLOOKUP(CONCATENATE(C2,"-0"),Languages!$A:$D,1,TRUE)=CONCATENATE(C2,"-0"),VLOOKUP(CONCATENATE(C2,"-0"),Languages!$A:$D,Kybermittari!$C$7,TRUE),NA())</f>
        <v>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Lokituksen toteuttaminen</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Monitoroinnin toteuttaminen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Tilannekuvan muodostaminen</v>
      </c>
      <c r="F8" s="607"/>
      <c r="G8" s="386"/>
      <c r="H8" s="610"/>
      <c r="I8" s="459" t="str">
        <f ca="1">VLOOKUP(VLOOKUP(CONCATENATE($C$2,"-",$C8),Data!$K:$O,5,FALSE),Parameters!$C$7:$F$10,Kybermittari!$C$7,FALSE)</f>
        <v>Kypsyystaso 1</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11"/>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Lokituksen toteuttaminen</v>
      </c>
      <c r="E10" s="336"/>
      <c r="F10" s="463"/>
      <c r="G10" s="463"/>
      <c r="H10" s="464"/>
      <c r="I10" s="464"/>
      <c r="J10" s="465"/>
      <c r="K10" s="466"/>
      <c r="L10" s="467"/>
      <c r="M10" s="533"/>
      <c r="N10" s="332"/>
      <c r="O10" s="341"/>
      <c r="P10" s="341"/>
    </row>
    <row r="11" spans="1:16" s="475" customFormat="1" ht="33.5" customHeight="1" x14ac:dyDescent="0.3">
      <c r="A11" s="469"/>
      <c r="B11" s="470"/>
      <c r="C11" s="745" t="str">
        <f>IF(VLOOKUP(CONCATENATE($C$2,"-",$C10,"-0"),Languages!$A:$D,1,TRUE)=CONCATENATE($C$2,"-",$C10,"-0"),VLOOKUP(CONCATENATE($C$2,"-",$C10,"-0"),Languages!$A:$D,Kybermittari!$C$7,TRUE),NA())</f>
        <v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v>
      </c>
      <c r="D11" s="745"/>
      <c r="E11" s="745"/>
      <c r="F11" s="745"/>
      <c r="G11" s="745"/>
      <c r="H11" s="745"/>
      <c r="I11" s="745"/>
      <c r="J11" s="745"/>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80"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90"/>
      <c r="K13" s="482"/>
      <c r="L13" s="483"/>
      <c r="M13" s="545"/>
      <c r="N13" s="483"/>
      <c r="O13" s="546"/>
      <c r="P13" s="546"/>
    </row>
    <row r="14" spans="1:16" s="495" customFormat="1" ht="35" customHeight="1" x14ac:dyDescent="0.3">
      <c r="A14" s="469"/>
      <c r="B14" s="749"/>
      <c r="C14" s="635">
        <v>1</v>
      </c>
      <c r="D14" s="492" t="s">
        <v>7</v>
      </c>
      <c r="E14" s="742" t="str">
        <f>IF(VLOOKUP(CONCATENATE($C$2,"-",$D14),Languages!$A:$D,1,TRUE)=CONCATENATE($C$2,"-",$D14),VLOOKUP(CONCATENATE($C$2,"-",$D14),Languages!$A:$D,Kybermittari!$C$7,TRUE),NA())</f>
        <v>Toiminnalle tärkeistä suojattavista kohteista kerätään lokeja silloin, kun se on kustannustehokasta - ja ainakin tapauskohtaisesti.</v>
      </c>
      <c r="F14" s="742"/>
      <c r="G14" s="742"/>
      <c r="H14" s="493">
        <f t="shared" ref="H14" si="0">IFERROR(INT(LEFT($I14,1)),0)</f>
        <v>0</v>
      </c>
      <c r="I14" s="54"/>
      <c r="J14" s="526"/>
      <c r="K14" s="494"/>
      <c r="L14" s="483"/>
      <c r="M14" s="545"/>
      <c r="N14" s="483"/>
    </row>
    <row r="15" spans="1:16" s="495" customFormat="1" ht="10" customHeight="1" x14ac:dyDescent="0.3">
      <c r="A15" s="469"/>
      <c r="B15" s="749"/>
      <c r="C15" s="498"/>
      <c r="D15" s="499"/>
      <c r="E15" s="501"/>
      <c r="F15" s="501"/>
      <c r="G15" s="501"/>
      <c r="H15" s="499"/>
      <c r="I15" s="502"/>
      <c r="J15" s="502"/>
      <c r="K15" s="494"/>
      <c r="L15" s="483"/>
      <c r="M15" s="545"/>
      <c r="N15" s="483"/>
    </row>
    <row r="16" spans="1:16" s="495" customFormat="1" ht="35" customHeight="1" x14ac:dyDescent="0.3">
      <c r="A16" s="469"/>
      <c r="B16" s="749"/>
      <c r="C16" s="751">
        <v>2</v>
      </c>
      <c r="D16" s="492" t="s">
        <v>9</v>
      </c>
      <c r="E16" s="742" t="str">
        <f>IF(VLOOKUP(CONCATENATE($C$2,"-",$D16),Languages!$A:$D,1,TRUE)=CONCATENATE($C$2,"-",$D16),VLOOKUP(CONCATENATE($C$2,"-",$D16),Languages!$A:$D,Kybermittari!$C$7,TRUE),NA())</f>
        <v>Lokitusvaatimukset on määritelty kaikille toiminnan osa-alueen toimintavarmuuden kannalta tärkeille suojattaville kohteille.</v>
      </c>
      <c r="F16" s="742"/>
      <c r="G16" s="742"/>
      <c r="H16" s="493">
        <f>IFERROR(INT(LEFT($I16,1)),0)</f>
        <v>0</v>
      </c>
      <c r="I16" s="54"/>
      <c r="J16" s="526"/>
      <c r="K16" s="494"/>
      <c r="L16" s="469"/>
      <c r="M16" s="545"/>
      <c r="N16" s="469"/>
    </row>
    <row r="17" spans="1:16" s="495" customFormat="1" ht="35" customHeight="1" x14ac:dyDescent="0.3">
      <c r="A17" s="469"/>
      <c r="B17" s="749"/>
      <c r="C17" s="753"/>
      <c r="D17" s="492" t="s">
        <v>10</v>
      </c>
      <c r="E17" s="742" t="str">
        <f>IF(VLOOKUP(CONCATENATE($C$2,"-",$D17),Languages!$A:$D,1,TRUE)=CONCATENATE($C$2,"-",$D17),VLOOKUP(CONCATENATE($C$2,"-",$D17),Languages!$A:$D,Kybermittari!$C$7,TRUE),NA())</f>
        <v>Lokit kerätään keskitetysti.</v>
      </c>
      <c r="F17" s="742"/>
      <c r="G17" s="742"/>
      <c r="H17" s="493">
        <f>IFERROR(INT(LEFT($I17,1)),0)</f>
        <v>0</v>
      </c>
      <c r="I17" s="54"/>
      <c r="J17" s="526"/>
      <c r="K17" s="494"/>
      <c r="L17" s="469"/>
      <c r="M17" s="545"/>
      <c r="N17" s="469"/>
    </row>
    <row r="18" spans="1:16" s="495" customFormat="1" ht="10" customHeight="1" x14ac:dyDescent="0.3">
      <c r="A18" s="469"/>
      <c r="B18" s="749"/>
      <c r="C18" s="498"/>
      <c r="D18" s="499"/>
      <c r="E18" s="501"/>
      <c r="F18" s="501"/>
      <c r="G18" s="501"/>
      <c r="H18" s="499"/>
      <c r="I18" s="502"/>
      <c r="J18" s="502"/>
      <c r="K18" s="494"/>
      <c r="L18" s="469"/>
      <c r="M18" s="545"/>
      <c r="N18" s="469"/>
    </row>
    <row r="19" spans="1:16" s="495" customFormat="1" ht="35" customHeight="1" x14ac:dyDescent="0.3">
      <c r="A19" s="469"/>
      <c r="B19" s="749"/>
      <c r="C19" s="635">
        <v>3</v>
      </c>
      <c r="D19" s="492" t="s">
        <v>11</v>
      </c>
      <c r="E19" s="748" t="str">
        <f>IF(VLOOKUP(CONCATENATE($C$2,"-",$D19),Languages!$A:$D,1,TRUE)=CONCATENATE($C$2,"-",$D19),VLOOKUP(CONCATENATE($C$2,"-",$D19),Languages!$A:$D,Kybermittari!$C$7,TRUE),NA())</f>
        <v>Lokitusvaatimukset on määritelty riskiperustaisesti (esim. tarkempi lokitus riskialttiille suojattaville kohteille).</v>
      </c>
      <c r="F19" s="748"/>
      <c r="G19" s="748"/>
      <c r="H19" s="493">
        <f>IFERROR(INT(LEFT($I19,1)),0)</f>
        <v>0</v>
      </c>
      <c r="I19" s="54"/>
      <c r="J19" s="526"/>
      <c r="K19" s="494"/>
      <c r="L19" s="549"/>
      <c r="M19" s="545"/>
      <c r="N19" s="549"/>
    </row>
    <row r="20" spans="1:16" s="343" customFormat="1" ht="30" customHeight="1" x14ac:dyDescent="0.25">
      <c r="A20" s="332"/>
      <c r="B20" s="461"/>
      <c r="C20" s="336">
        <v>2</v>
      </c>
      <c r="D20" s="336" t="str">
        <f>IF(VLOOKUP(CONCATENATE($C$2,"-",C20),Languages!$A:$D,1,TRUE)=CONCATENATE($C$2,"-",C20),VLOOKUP(CONCATENATE($C$2,"-",C20),Languages!$A:$D,Kybermittari!$C$7,TRUE),NA())</f>
        <v>Monitoroinnin toteuttaminen</v>
      </c>
      <c r="E20" s="336"/>
      <c r="F20" s="506"/>
      <c r="G20" s="506"/>
      <c r="H20" s="506"/>
      <c r="I20" s="506" t="s">
        <v>19</v>
      </c>
      <c r="J20" s="507"/>
      <c r="K20" s="339"/>
      <c r="L20" s="344"/>
      <c r="M20" s="533"/>
      <c r="N20" s="344"/>
      <c r="O20" s="341"/>
      <c r="P20" s="341"/>
    </row>
    <row r="21" spans="1:16" s="475" customFormat="1" ht="32.5" customHeight="1" x14ac:dyDescent="0.3">
      <c r="A21" s="469"/>
      <c r="B21" s="470"/>
      <c r="C21" s="745" t="str">
        <f>IF(VLOOKUP(CONCATENATE($C$2,"-",$C20,"-0"),Languages!$A:$D,1,TRUE)=CONCATENATE($C$2,"-",$C20,"-0"),VLOOKUP(CONCATENATE($C$2,"-",$C20,"-0"),Languages!$A:$D,Kybermittari!$C$7,TRUE),NA())</f>
        <v>Organisaation tulee käyttää lokien ja muiden lähteiden kautta kerättyä tietoa saadakseen selkeän yleiskuvan operatiivisen toiminnan ja kyberturvallisuuden tilasta.</v>
      </c>
      <c r="D21" s="745"/>
      <c r="E21" s="745"/>
      <c r="F21" s="745"/>
      <c r="G21" s="745"/>
      <c r="H21" s="745"/>
      <c r="I21" s="745"/>
      <c r="J21" s="745"/>
      <c r="K21" s="471"/>
      <c r="L21" s="469"/>
      <c r="M21" s="545"/>
      <c r="N21" s="469"/>
      <c r="O21" s="473"/>
      <c r="P21" s="473"/>
    </row>
    <row r="22" spans="1:16" s="547" customFormat="1" ht="20" customHeight="1" x14ac:dyDescent="0.3">
      <c r="A22" s="483"/>
      <c r="B22" s="476"/>
      <c r="C22" s="477" t="str">
        <f>IF(VLOOKUP("GEN-LEVEL",Languages!$A:$D,1,TRUE)="GEN-LEVEL",VLOOKUP("GEN-LEVEL",Languages!$A:$D,Kybermittari!$C$7,TRUE),NA())</f>
        <v>Taso</v>
      </c>
      <c r="D22" s="477"/>
      <c r="E22" s="478" t="str">
        <f>IF(VLOOKUP("GEN-PRACTICE",Languages!$A:$D,1,TRUE)="GEN-PRACTICE",VLOOKUP("GEN-PRACTICE",Languages!$A:$D,Kybermittari!$C$7,TRUE),NA())</f>
        <v>Käytäntö</v>
      </c>
      <c r="F22" s="479"/>
      <c r="G22" s="480"/>
      <c r="H22" s="481"/>
      <c r="I22" s="478" t="str">
        <f>IF(VLOOKUP("GEN-ANSWER",Languages!$A:$D,1,TRUE)="GEN-ANSWER",VLOOKUP("GEN-ANSWER",Languages!$A:$D,Kybermittari!$C$7,TRUE),NA())</f>
        <v>Vastaus</v>
      </c>
      <c r="J22" s="480" t="str">
        <f>IF(VLOOKUP("GEN-COMMENT",Languages!$A:$D,1,TRUE)="GEN-COMMENT",VLOOKUP("GEN-COMMENT",Languages!$A:$D,Kybermittari!$C$7,TRUE),NA())</f>
        <v>Kommentti ja viittaukset</v>
      </c>
      <c r="K22" s="482"/>
      <c r="L22" s="524"/>
      <c r="M22" s="545"/>
      <c r="N22" s="524"/>
      <c r="O22" s="546"/>
      <c r="P22" s="546"/>
    </row>
    <row r="23" spans="1:16" s="547" customFormat="1" ht="10" customHeight="1" x14ac:dyDescent="0.3">
      <c r="A23" s="483"/>
      <c r="B23" s="476"/>
      <c r="C23" s="487"/>
      <c r="D23" s="487"/>
      <c r="E23" s="488"/>
      <c r="F23" s="489"/>
      <c r="G23" s="490"/>
      <c r="H23" s="491"/>
      <c r="I23" s="488"/>
      <c r="J23" s="490"/>
      <c r="K23" s="482"/>
      <c r="L23" s="524"/>
      <c r="M23" s="545"/>
      <c r="N23" s="524"/>
      <c r="O23" s="546"/>
      <c r="P23" s="546"/>
    </row>
    <row r="24" spans="1:16" s="510" customFormat="1" ht="35" customHeight="1" x14ac:dyDescent="0.3">
      <c r="A24" s="524"/>
      <c r="B24" s="741"/>
      <c r="C24" s="760">
        <v>1</v>
      </c>
      <c r="D24" s="508" t="s">
        <v>20</v>
      </c>
      <c r="E24" s="742" t="str">
        <f>IF(VLOOKUP(CONCATENATE($C$2,"-",$D24),Languages!$A:$D,1,TRUE)=CONCATENATE($C$2,"-",$D24),VLOOKUP(CONCATENATE($C$2,"-",$D24),Languages!$A:$D,Kybermittari!$C$7,TRUE),NA())</f>
        <v>Organisaatio monitoroi kyberturvallisuustoimintojaan (esim. määräajoin tapahtuva lokien katselmointi) - ainakin tapauskohtaisesti.</v>
      </c>
      <c r="F24" s="742"/>
      <c r="G24" s="742"/>
      <c r="H24" s="493">
        <f>IFERROR(INT(LEFT($I24,1)),0)</f>
        <v>0</v>
      </c>
      <c r="I24" s="54"/>
      <c r="J24" s="526"/>
      <c r="K24" s="509"/>
      <c r="L24" s="524"/>
      <c r="M24" s="545"/>
      <c r="N24" s="524"/>
      <c r="O24" s="495"/>
      <c r="P24" s="495"/>
    </row>
    <row r="25" spans="1:16" s="510" customFormat="1" ht="47.5" customHeight="1" x14ac:dyDescent="0.3">
      <c r="A25" s="524"/>
      <c r="B25" s="741"/>
      <c r="C25" s="760"/>
      <c r="D25" s="508" t="s">
        <v>21</v>
      </c>
      <c r="E25" s="742" t="str">
        <f>IF(VLOOKUP(CONCATENATE($C$2,"-",$D25),Languages!$A:$D,1,TRUE)=CONCATENATE($C$2,"-",$D25),VLOOKUP(CONCATENATE($C$2,"-",$D25),Languages!$A:$D,Kybermittari!$C$7,TRUE),NA())</f>
        <v>Tuotantoympäristöjä monitoroidaan poikkeamien ja poikkeavan käytöksen varalta (jotka voivat antaa viitteitä kyberturvallisuuden kannalta merkittävistä tapahtumista) - ainakin tapauskohtaisesti.</v>
      </c>
      <c r="F25" s="742"/>
      <c r="G25" s="742"/>
      <c r="H25" s="493">
        <f>IFERROR(INT(LEFT($I25,1)),0)</f>
        <v>0</v>
      </c>
      <c r="I25" s="54"/>
      <c r="J25" s="527"/>
      <c r="K25" s="509"/>
      <c r="L25" s="524"/>
      <c r="M25" s="545"/>
      <c r="N25" s="524"/>
      <c r="O25" s="495"/>
      <c r="P25" s="495"/>
    </row>
    <row r="26" spans="1:16" s="510" customFormat="1" ht="10" customHeight="1" x14ac:dyDescent="0.3">
      <c r="A26" s="524"/>
      <c r="B26" s="511"/>
      <c r="C26" s="565"/>
      <c r="D26" s="513"/>
      <c r="E26" s="501"/>
      <c r="F26" s="501"/>
      <c r="G26" s="501"/>
      <c r="H26" s="499"/>
      <c r="I26" s="502"/>
      <c r="J26" s="514"/>
      <c r="K26" s="509"/>
      <c r="L26" s="524"/>
      <c r="M26" s="545"/>
      <c r="N26" s="524"/>
      <c r="O26" s="495"/>
      <c r="P26" s="495"/>
    </row>
    <row r="27" spans="1:16" s="510" customFormat="1" ht="35" customHeight="1" x14ac:dyDescent="0.3">
      <c r="A27" s="524"/>
      <c r="B27" s="741"/>
      <c r="C27" s="760">
        <v>2</v>
      </c>
      <c r="D27" s="508" t="s">
        <v>22</v>
      </c>
      <c r="E27" s="742" t="str">
        <f>IF(VLOOKUP(CONCATENATE($C$2,"-",$D27),Languages!$A:$D,1,TRUE)=CONCATENATE($C$2,"-",$D27),VLOOKUP(CONCATENATE($C$2,"-",$D27),Languages!$A:$D,Kybermittari!$C$7,TRUE),NA())</f>
        <v>Monitoroinnille ja analysoinnille on asetettu vaatimukset, joita ylläpidetään ja joissa edellytetään tapahtumatiedon oikea-aikaista käsittelyä.</v>
      </c>
      <c r="F27" s="742"/>
      <c r="G27" s="742"/>
      <c r="H27" s="493">
        <f>IFERROR(INT(LEFT($I27,1)),0)</f>
        <v>0</v>
      </c>
      <c r="I27" s="54"/>
      <c r="J27" s="527"/>
      <c r="K27" s="509"/>
      <c r="L27" s="524"/>
      <c r="M27" s="545"/>
      <c r="N27" s="524"/>
      <c r="O27" s="495"/>
      <c r="P27" s="495"/>
    </row>
    <row r="28" spans="1:16" s="510" customFormat="1" ht="60.5" customHeight="1" x14ac:dyDescent="0.3">
      <c r="A28" s="524"/>
      <c r="B28" s="741"/>
      <c r="C28" s="760"/>
      <c r="D28" s="508" t="s">
        <v>23</v>
      </c>
      <c r="E28" s="742" t="str">
        <f>IF(VLOOKUP(CONCATENATE($C$2,"-",$D28),Languages!$A:$D,1,TRUE)=CONCATENATE($C$2,"-",$D28),VLOOKUP(CONCATENATE($C$2,"-",$D28),Languages!$A:$D,Kybermittari!$C$7,TRUE),NA())</f>
        <v>Poikkeamien ja poikkeavan käytöksen havaitsemiseksi järjestelmiin on asetettu indikaattorit, joita ylläpidetään ja monitoroidaan koko tuotantoympäristön laajuisesti. Indikaattorit perustuvat järjestelmien lokeihin, tietovirtoihin, kybertapahtumiin sekä järjestelmän arkkitehtuuriin.</v>
      </c>
      <c r="F28" s="742"/>
      <c r="G28" s="742"/>
      <c r="H28" s="493">
        <f>IFERROR(INT(LEFT($I28,1)),0)</f>
        <v>0</v>
      </c>
      <c r="I28" s="54"/>
      <c r="J28" s="527"/>
      <c r="K28" s="509"/>
      <c r="L28" s="524"/>
      <c r="M28" s="545"/>
      <c r="N28" s="524"/>
      <c r="O28" s="495"/>
      <c r="P28" s="495"/>
    </row>
    <row r="29" spans="1:16" s="510" customFormat="1" ht="35" customHeight="1" x14ac:dyDescent="0.3">
      <c r="A29" s="524"/>
      <c r="B29" s="741"/>
      <c r="C29" s="760"/>
      <c r="D29" s="508" t="s">
        <v>24</v>
      </c>
      <c r="E29" s="742" t="str">
        <f>IF(VLOOKUP(CONCATENATE($C$2,"-",$D29),Languages!$A:$D,1,TRUE)=CONCATENATE($C$2,"-",$D29),VLOOKUP(CONCATENATE($C$2,"-",$D29),Languages!$A:$D,Kybermittari!$C$7,TRUE),NA())</f>
        <v xml:space="preserve">Järjestelmiin on asetettu hälytysrajat auttamaan kybertapahtumien tunnistamista [kts. RESPONSE-1b]. </v>
      </c>
      <c r="F29" s="742"/>
      <c r="G29" s="742"/>
      <c r="H29" s="493">
        <f>IFERROR(INT(LEFT($I29,1)),0)</f>
        <v>0</v>
      </c>
      <c r="I29" s="54"/>
      <c r="J29" s="527"/>
      <c r="K29" s="509"/>
      <c r="L29" s="524"/>
      <c r="M29" s="545"/>
      <c r="N29" s="524"/>
      <c r="O29" s="495"/>
      <c r="P29" s="495"/>
    </row>
    <row r="30" spans="1:16" s="510" customFormat="1" ht="35" customHeight="1" x14ac:dyDescent="0.3">
      <c r="A30" s="524"/>
      <c r="B30" s="741"/>
      <c r="C30" s="760"/>
      <c r="D30" s="508" t="s">
        <v>112</v>
      </c>
      <c r="E30" s="742" t="str">
        <f>IF(VLOOKUP(CONCATENATE($C$2,"-",$D30),Languages!$A:$D,1,TRUE)=CONCATENATE($C$2,"-",$D30),VLOOKUP(CONCATENATE($C$2,"-",$D30),Languages!$A:$D,Kybermittari!$C$7,TRUE),NA())</f>
        <v>Monitorointijärjestelyt huomioivat organisaation uhkaprofiilin [kts. THREAT-1d].</v>
      </c>
      <c r="F30" s="742"/>
      <c r="G30" s="742"/>
      <c r="H30" s="493">
        <f>IFERROR(INT(LEFT($I30,1)),0)</f>
        <v>0</v>
      </c>
      <c r="I30" s="54"/>
      <c r="J30" s="527"/>
      <c r="K30" s="509"/>
      <c r="L30" s="524"/>
      <c r="M30" s="545"/>
      <c r="N30" s="524"/>
      <c r="O30" s="495"/>
      <c r="P30" s="495"/>
    </row>
    <row r="31" spans="1:16" s="510" customFormat="1" ht="10" customHeight="1" x14ac:dyDescent="0.3">
      <c r="A31" s="524"/>
      <c r="B31" s="741"/>
      <c r="C31" s="565"/>
      <c r="D31" s="513"/>
      <c r="E31" s="501"/>
      <c r="F31" s="501"/>
      <c r="G31" s="501"/>
      <c r="H31" s="499"/>
      <c r="I31" s="502"/>
      <c r="J31" s="514"/>
      <c r="K31" s="509"/>
      <c r="L31" s="524"/>
      <c r="M31" s="545"/>
      <c r="N31" s="524"/>
      <c r="O31" s="495"/>
      <c r="P31" s="495"/>
    </row>
    <row r="32" spans="1:16" s="510" customFormat="1" ht="35" customHeight="1" x14ac:dyDescent="0.3">
      <c r="A32" s="524"/>
      <c r="B32" s="741"/>
      <c r="C32" s="760">
        <v>3</v>
      </c>
      <c r="D32" s="508" t="s">
        <v>176</v>
      </c>
      <c r="E32" s="742" t="str">
        <f>IF(VLOOKUP(CONCATENATE($C$2,"-",$D32),Languages!$A:$D,1,TRUE)=CONCATENATE($C$2,"-",$D32),VLOOKUP(CONCATENATE($C$2,"-",$D32),Languages!$A:$D,Kybermittari!$C$7,TRUE),NA())</f>
        <v>Monitorointijärjestelyt huomioivat toiminnan riskit (ts. riskialttiimmat suojattavat kohteet edellyttävät tarkempaa monitorointia).</v>
      </c>
      <c r="F32" s="742"/>
      <c r="G32" s="742"/>
      <c r="H32" s="493">
        <f>IFERROR(INT(LEFT($I32,1)),0)</f>
        <v>0</v>
      </c>
      <c r="I32" s="54"/>
      <c r="J32" s="527"/>
      <c r="K32" s="509"/>
      <c r="L32" s="618"/>
      <c r="M32" s="545"/>
      <c r="N32" s="618"/>
      <c r="O32" s="495"/>
      <c r="P32" s="495"/>
    </row>
    <row r="33" spans="1:16" s="510" customFormat="1" ht="35" customHeight="1" x14ac:dyDescent="0.3">
      <c r="A33" s="524"/>
      <c r="B33" s="741"/>
      <c r="C33" s="760"/>
      <c r="D33" s="508" t="s">
        <v>178</v>
      </c>
      <c r="E33" s="742" t="str">
        <f>IF(VLOOKUP(CONCATENATE($C$2,"-",$D33),Languages!$A:$D,1,TRUE)=CONCATENATE($C$2,"-",$D33),VLOOKUP(CONCATENATE($C$2,"-",$D33),Languages!$A:$D,Kybermittari!$C$7,TRUE),NA())</f>
        <v>Koko tuotantoympäristöä monitoroidaan automaattisesti poikkeamien varalta.</v>
      </c>
      <c r="F33" s="742"/>
      <c r="G33" s="742"/>
      <c r="H33" s="493">
        <f>IFERROR(INT(LEFT($I33,1)),0)</f>
        <v>0</v>
      </c>
      <c r="I33" s="54"/>
      <c r="J33" s="527"/>
      <c r="K33" s="509"/>
      <c r="L33" s="524"/>
      <c r="M33" s="545"/>
      <c r="N33" s="524"/>
      <c r="O33" s="495"/>
      <c r="P33" s="495"/>
    </row>
    <row r="34" spans="1:16" s="510" customFormat="1" ht="35" customHeight="1" x14ac:dyDescent="0.3">
      <c r="A34" s="524"/>
      <c r="B34" s="741"/>
      <c r="C34" s="760"/>
      <c r="D34" s="508" t="s">
        <v>209</v>
      </c>
      <c r="E34" s="742" t="str">
        <f>IF(VLOOKUP(CONCATENATE($C$2,"-",$D34),Languages!$A:$D,1,TRUE)=CONCATENATE($C$2,"-",$D34),VLOOKUP(CONCATENATE($C$2,"-",$D34),Languages!$A:$D,Kybermittari!$C$7,TRUE),NA())</f>
        <v>Riskirekisterin [kts. RISK-1d] sisältöä käytetään tunnistamaan indikaattoreita, jotka viittaavat poikkeamiin tai poikkeavaan toimintaan.</v>
      </c>
      <c r="F34" s="742"/>
      <c r="G34" s="742"/>
      <c r="H34" s="493">
        <f>IFERROR(INT(LEFT($I34,1)),0)</f>
        <v>0</v>
      </c>
      <c r="I34" s="54"/>
      <c r="J34" s="527"/>
      <c r="K34" s="509"/>
      <c r="L34" s="483"/>
      <c r="M34" s="545"/>
      <c r="N34" s="523"/>
      <c r="O34" s="495"/>
      <c r="P34" s="495"/>
    </row>
    <row r="35" spans="1:16" s="510" customFormat="1" ht="35" customHeight="1" x14ac:dyDescent="0.3">
      <c r="A35" s="524"/>
      <c r="B35" s="741"/>
      <c r="C35" s="760"/>
      <c r="D35" s="508" t="s">
        <v>211</v>
      </c>
      <c r="E35" s="742" t="str">
        <f>IF(VLOOKUP(CONCATENATE($C$2,"-",$D35),Languages!$A:$D,1,TRUE)=CONCATENATE($C$2,"-",$D35),VLOOKUP(CONCATENATE($C$2,"-",$D35),Languages!$A:$D,Kybermittari!$C$7,TRUE),NA())</f>
        <v>Poikkeamien ja poikkeavan toiminnan indikaattorit arvioidaan ja päivitetään organisaation määrittämin aikavälein.</v>
      </c>
      <c r="F35" s="742"/>
      <c r="G35" s="742"/>
      <c r="H35" s="493">
        <f>IFERROR(INT(LEFT($I35,1)),0)</f>
        <v>0</v>
      </c>
      <c r="I35" s="54"/>
      <c r="J35" s="527"/>
      <c r="K35" s="509"/>
      <c r="L35" s="483"/>
      <c r="M35" s="545"/>
      <c r="N35" s="523"/>
      <c r="O35" s="495"/>
      <c r="P35" s="495"/>
    </row>
    <row r="36" spans="1:16" s="343" customFormat="1" ht="30" customHeight="1" x14ac:dyDescent="0.25">
      <c r="A36" s="332"/>
      <c r="B36" s="461"/>
      <c r="C36" s="336">
        <v>3</v>
      </c>
      <c r="D36" s="336" t="str">
        <f>IF(VLOOKUP(CONCATENATE($C$2,"-",C36),Languages!$A:$D,1,TRUE)=CONCATENATE($C$2,"-",C36),VLOOKUP(CONCATENATE($C$2,"-",C36),Languages!$A:$D,Kybermittari!$C$7,TRUE),NA())</f>
        <v>Tilannekuvan muodostaminen</v>
      </c>
      <c r="E36" s="336"/>
      <c r="F36" s="506"/>
      <c r="G36" s="506"/>
      <c r="H36" s="506"/>
      <c r="I36" s="506" t="s">
        <v>19</v>
      </c>
      <c r="J36" s="507"/>
      <c r="K36" s="339"/>
      <c r="L36" s="332"/>
      <c r="M36" s="533"/>
      <c r="N36" s="636"/>
      <c r="O36" s="341"/>
      <c r="P36" s="341"/>
    </row>
    <row r="37" spans="1:16" s="510" customFormat="1" ht="47.5" customHeight="1" x14ac:dyDescent="0.3">
      <c r="A37" s="524"/>
      <c r="B37" s="511"/>
      <c r="C37" s="745" t="str">
        <f>IF(VLOOKUP(CONCATENATE($C$2,"-",$C36,"-0"),Languages!$A:$D,1,TRUE)=CONCATENATE($C$2,"-",$C36,"-0"),VLOOKUP(CONCATENATE($C$2,"-",$C36,"-0"),Languages!$A:$D,Kybermittari!$C$7,TRUE),NA())</f>
        <v>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v>
      </c>
      <c r="D37" s="745"/>
      <c r="E37" s="745"/>
      <c r="F37" s="745"/>
      <c r="G37" s="745"/>
      <c r="H37" s="745"/>
      <c r="I37" s="745"/>
      <c r="J37" s="745"/>
      <c r="K37" s="509"/>
      <c r="L37" s="483"/>
      <c r="M37" s="545"/>
      <c r="N37" s="523"/>
      <c r="O37" s="495"/>
      <c r="P37" s="495"/>
    </row>
    <row r="38" spans="1:16" s="547" customFormat="1" ht="20" customHeight="1" x14ac:dyDescent="0.3">
      <c r="A38" s="483"/>
      <c r="B38" s="476"/>
      <c r="C38" s="477" t="str">
        <f>IF(VLOOKUP("GEN-LEVEL",Languages!$A:$D,1,TRUE)="GEN-LEVEL",VLOOKUP("GEN-LEVEL",Languages!$A:$D,Kybermittari!$C$7,TRUE),NA())</f>
        <v>Taso</v>
      </c>
      <c r="D38" s="477"/>
      <c r="E38" s="478" t="str">
        <f>IF(VLOOKUP("GEN-PRACTICE",Languages!$A:$D,1,TRUE)="GEN-PRACTICE",VLOOKUP("GEN-PRACTICE",Languages!$A:$D,Kybermittari!$C$7,TRUE),NA())</f>
        <v>Käytäntö</v>
      </c>
      <c r="F38" s="479"/>
      <c r="G38" s="480"/>
      <c r="H38" s="481"/>
      <c r="I38" s="478" t="str">
        <f>IF(VLOOKUP("GEN-ANSWER",Languages!$A:$D,1,TRUE)="GEN-ANSWER",VLOOKUP("GEN-ANSWER",Languages!$A:$D,Kybermittari!$C$7,TRUE),NA())</f>
        <v>Vastaus</v>
      </c>
      <c r="J38" s="480" t="str">
        <f>IF(VLOOKUP("GEN-COMMENT",Languages!$A:$D,1,TRUE)="GEN-COMMENT",VLOOKUP("GEN-COMMENT",Languages!$A:$D,Kybermittari!$C$7,TRUE),NA())</f>
        <v>Kommentti ja viittaukset</v>
      </c>
      <c r="K38" s="482"/>
      <c r="L38" s="524"/>
      <c r="M38" s="545"/>
      <c r="N38" s="524"/>
      <c r="O38" s="546"/>
      <c r="P38" s="546"/>
    </row>
    <row r="39" spans="1:16" s="547" customFormat="1" ht="10" customHeight="1" x14ac:dyDescent="0.3">
      <c r="A39" s="483"/>
      <c r="B39" s="476"/>
      <c r="C39" s="487"/>
      <c r="D39" s="487"/>
      <c r="E39" s="488"/>
      <c r="F39" s="489"/>
      <c r="G39" s="490"/>
      <c r="H39" s="491"/>
      <c r="I39" s="488"/>
      <c r="J39" s="490"/>
      <c r="K39" s="482"/>
      <c r="L39" s="524"/>
      <c r="M39" s="545"/>
      <c r="N39" s="524"/>
      <c r="O39" s="546"/>
      <c r="P39" s="546"/>
    </row>
    <row r="40" spans="1:16" s="547" customFormat="1" ht="20" customHeight="1" x14ac:dyDescent="0.3">
      <c r="A40" s="483"/>
      <c r="B40" s="476"/>
      <c r="C40" s="557">
        <v>1</v>
      </c>
      <c r="D40" s="558"/>
      <c r="E40" s="559"/>
      <c r="F40" s="560"/>
      <c r="G40" s="561"/>
      <c r="H40" s="562"/>
      <c r="I40" s="559"/>
      <c r="J40" s="563"/>
      <c r="K40" s="482"/>
      <c r="L40" s="524"/>
      <c r="M40" s="545"/>
      <c r="N40" s="524"/>
      <c r="O40" s="546"/>
      <c r="P40" s="546"/>
    </row>
    <row r="41" spans="1:16" s="547" customFormat="1" ht="10" customHeight="1" x14ac:dyDescent="0.3">
      <c r="A41" s="483"/>
      <c r="B41" s="476"/>
      <c r="C41" s="487"/>
      <c r="D41" s="487"/>
      <c r="E41" s="488"/>
      <c r="F41" s="489"/>
      <c r="G41" s="490"/>
      <c r="H41" s="491"/>
      <c r="I41" s="488"/>
      <c r="J41" s="490"/>
      <c r="K41" s="482"/>
      <c r="L41" s="524"/>
      <c r="M41" s="545"/>
      <c r="N41" s="524"/>
      <c r="O41" s="546"/>
      <c r="P41" s="546"/>
    </row>
    <row r="42" spans="1:16" s="510" customFormat="1" ht="35" customHeight="1" x14ac:dyDescent="0.3">
      <c r="A42" s="524"/>
      <c r="B42" s="511"/>
      <c r="C42" s="757">
        <v>2</v>
      </c>
      <c r="D42" s="508" t="s">
        <v>25</v>
      </c>
      <c r="E42" s="742" t="str">
        <f>IF(VLOOKUP(CONCATENATE($C$2,"-",$D42),Languages!$A:$D,1,TRUE)=CONCATENATE($C$2,"-",$D42),VLOOKUP(CONCATENATE($C$2,"-",$D42),Languages!$A:$D,Kybermittari!$C$7,TRUE),NA())</f>
        <v>Organisaatio on määrittänyt, miten se viestii toiminnan osa-alueen kyberturvallisuuden nykytilan, ja pitää yllä tätä määrittelyä.</v>
      </c>
      <c r="F42" s="742"/>
      <c r="G42" s="742"/>
      <c r="H42" s="493">
        <f>IFERROR(INT(LEFT($I42,1)),0)</f>
        <v>0</v>
      </c>
      <c r="I42" s="54"/>
      <c r="J42" s="527"/>
      <c r="K42" s="509"/>
      <c r="L42" s="524"/>
      <c r="M42" s="545"/>
      <c r="N42" s="524"/>
      <c r="O42" s="495"/>
      <c r="P42" s="495"/>
    </row>
    <row r="43" spans="1:16" s="510" customFormat="1" ht="35" customHeight="1" x14ac:dyDescent="0.3">
      <c r="A43" s="524"/>
      <c r="B43" s="511"/>
      <c r="C43" s="758"/>
      <c r="D43" s="508" t="s">
        <v>26</v>
      </c>
      <c r="E43" s="742" t="str">
        <f>IF(VLOOKUP(CONCATENATE($C$2,"-",$D43),Languages!$A:$D,1,TRUE)=CONCATENATE($C$2,"-",$D43),VLOOKUP(CONCATENATE($C$2,"-",$D43),Languages!$A:$D,Kybermittari!$C$7,TRUE),NA())</f>
        <v>Monitoroinnin tuottama tieto kootaan yhteen toiminnan osa-alueen operatiivisen tilannekuvan muodostamiseksi.</v>
      </c>
      <c r="F43" s="742"/>
      <c r="G43" s="742"/>
      <c r="H43" s="493">
        <f>IFERROR(INT(LEFT($I43,1)),0)</f>
        <v>0</v>
      </c>
      <c r="I43" s="54"/>
      <c r="J43" s="527"/>
      <c r="K43" s="509"/>
      <c r="L43" s="524"/>
      <c r="M43" s="545"/>
      <c r="N43" s="524"/>
      <c r="O43" s="495"/>
      <c r="P43" s="495"/>
    </row>
    <row r="44" spans="1:16" s="510" customFormat="1" ht="35" customHeight="1" x14ac:dyDescent="0.3">
      <c r="A44" s="524"/>
      <c r="B44" s="511"/>
      <c r="C44" s="759"/>
      <c r="D44" s="508" t="s">
        <v>27</v>
      </c>
      <c r="E44" s="742" t="str">
        <f>IF(VLOOKUP(CONCATENATE($C$2,"-",$D44),Languages!$A:$D,1,TRUE)=CONCATENATE($C$2,"-",$D44),VLOOKUP(CONCATENATE($C$2,"-",$D44),Languages!$A:$D,Kybermittari!$C$7,TRUE),NA())</f>
        <v>Tilannekuvan rikastamiseksi kerätään relevanttia tietoa koko organisaation laajuudelta.</v>
      </c>
      <c r="F44" s="742"/>
      <c r="G44" s="742"/>
      <c r="H44" s="493">
        <f>IFERROR(INT(LEFT($I44,1)),0)</f>
        <v>0</v>
      </c>
      <c r="I44" s="54"/>
      <c r="J44" s="527"/>
      <c r="K44" s="509"/>
      <c r="L44" s="524"/>
      <c r="M44" s="545"/>
      <c r="N44" s="524"/>
      <c r="O44" s="495"/>
      <c r="P44" s="495"/>
    </row>
    <row r="45" spans="1:16" s="510" customFormat="1" ht="10" customHeight="1" x14ac:dyDescent="0.3">
      <c r="A45" s="524"/>
      <c r="B45" s="511"/>
      <c r="C45" s="565"/>
      <c r="D45" s="513"/>
      <c r="E45" s="501"/>
      <c r="F45" s="501"/>
      <c r="G45" s="501"/>
      <c r="H45" s="499"/>
      <c r="I45" s="502"/>
      <c r="J45" s="514"/>
      <c r="K45" s="509"/>
      <c r="L45" s="524"/>
      <c r="M45" s="545"/>
      <c r="N45" s="524"/>
      <c r="O45" s="495"/>
      <c r="P45" s="495"/>
    </row>
    <row r="46" spans="1:16" s="510" customFormat="1" ht="75.5" customHeight="1" x14ac:dyDescent="0.3">
      <c r="A46" s="524"/>
      <c r="B46" s="511"/>
      <c r="C46" s="757">
        <v>3</v>
      </c>
      <c r="D46" s="508" t="s">
        <v>28</v>
      </c>
      <c r="E46" s="742" t="str">
        <f>IF(VLOOKUP(CONCATENATE($C$2,"-",$D46),Languages!$A:$D,1,TRUE)=CONCATENATE($C$2,"-",$D46),VLOOKUP(CONCATENATE($C$2,"-",$D46),Languages!$A:$D,Kybermittari!$C$7,TRUE),NA())</f>
        <v>Tilannekuvan raportoinnin osalta on määritetty vaatimukset, jotka käsittelevät myös kyberturvallisuustiedon oikea-aikaista jakamista organisaation määrittelemille sidosryhmillä (kuten valtio, liitännäiset organisaatiot, toimittajat, toimialan muut organisaatiot, sääntelyviranomaiset tai organisaation sisäiset tahot).</v>
      </c>
      <c r="F46" s="742"/>
      <c r="G46" s="742"/>
      <c r="H46" s="493">
        <f>IFERROR(INT(LEFT($I46,1)),0)</f>
        <v>0</v>
      </c>
      <c r="I46" s="54"/>
      <c r="J46" s="527"/>
      <c r="K46" s="509"/>
      <c r="L46" s="524"/>
      <c r="M46" s="545"/>
      <c r="N46" s="524"/>
      <c r="O46" s="495"/>
      <c r="P46" s="495"/>
    </row>
    <row r="47" spans="1:16" s="510" customFormat="1" ht="47" customHeight="1" x14ac:dyDescent="0.3">
      <c r="A47" s="524"/>
      <c r="B47" s="511"/>
      <c r="C47" s="758"/>
      <c r="D47" s="508" t="s">
        <v>29</v>
      </c>
      <c r="E47" s="742" t="str">
        <f>IF(VLOOKUP(CONCATENATE($C$2,"-",$D47),Languages!$A:$D,1,TRUE)=CONCATENATE($C$2,"-",$D47),VLOOKUP(CONCATENATE($C$2,"-",$D47),Languages!$A:$D,Kybermittari!$C$7,TRUE),NA())</f>
        <v>Monitoroinnin tuottama tieto kootaan yhteen, se korreloidaan ja sitä käytetään miltei reaaliaikaisen kyberturvallisuuden tilannekuvan muodostamiseksi toiminnan osa-alueella.</v>
      </c>
      <c r="F47" s="742"/>
      <c r="G47" s="742"/>
      <c r="H47" s="493">
        <f>IFERROR(INT(LEFT($I47,1)),0)</f>
        <v>0</v>
      </c>
      <c r="I47" s="54"/>
      <c r="J47" s="527"/>
      <c r="K47" s="509"/>
      <c r="L47" s="524"/>
      <c r="M47" s="545"/>
      <c r="N47" s="524"/>
      <c r="O47" s="495"/>
      <c r="P47" s="495"/>
    </row>
    <row r="48" spans="1:16" s="510" customFormat="1" ht="46.5" customHeight="1" x14ac:dyDescent="0.3">
      <c r="A48" s="524"/>
      <c r="B48" s="511"/>
      <c r="C48" s="758"/>
      <c r="D48" s="508" t="s">
        <v>30</v>
      </c>
      <c r="E48" s="742" t="str">
        <f>IF(VLOOKUP(CONCATENATE($C$2,"-",$D48),Languages!$A:$D,1,TRUE)=CONCATENATE($C$2,"-",$D48),VLOOKUP(CONCATENATE($C$2,"-",$D48),Languages!$A:$D,Kybermittari!$C$7,TRUE),NA())</f>
        <v>Organisaatiossa kerätään ja tarjotaan saataville organisaation ulkopuolista relevanttia tietoa tilannekuvan rikastamiseksi [kts. THREAT-1g, THREAT-2i].</v>
      </c>
      <c r="F48" s="742"/>
      <c r="G48" s="742"/>
      <c r="H48" s="493">
        <f>IFERROR(INT(LEFT($I48,1)),0)</f>
        <v>0</v>
      </c>
      <c r="I48" s="54"/>
      <c r="J48" s="527"/>
      <c r="K48" s="509"/>
      <c r="L48" s="618"/>
      <c r="M48" s="545"/>
      <c r="N48" s="618"/>
      <c r="O48" s="495"/>
      <c r="P48" s="495"/>
    </row>
    <row r="49" spans="1:16" s="510" customFormat="1" ht="47" customHeight="1" x14ac:dyDescent="0.3">
      <c r="A49" s="524"/>
      <c r="B49" s="511"/>
      <c r="C49" s="758"/>
      <c r="D49" s="508" t="s">
        <v>31</v>
      </c>
      <c r="E49" s="742" t="str">
        <f>IF(VLOOKUP(CONCATENATE($C$2,"-",$D49),Languages!$A:$D,1,TRUE)=CONCATENATE($C$2,"-",$D49),VLOOKUP(CONCATENATE($C$2,"-",$D49),Languages!$A:$D,Kybermittari!$C$7,TRUE),NA())</f>
        <v>Tilannekuvan laadun parantamiseksi käytössä on prosessi, jolla vastaanotettu kyberturvallisuustieto analysoidaan ja tietomassassa mahdollisesti olevat päällekkäisyydet poistetaan.</v>
      </c>
      <c r="F49" s="742"/>
      <c r="G49" s="742"/>
      <c r="H49" s="493">
        <f>IFERROR(INT(LEFT($I49,1)),0)</f>
        <v>0</v>
      </c>
      <c r="I49" s="54"/>
      <c r="J49" s="527"/>
      <c r="K49" s="509"/>
      <c r="L49" s="524"/>
      <c r="M49" s="545"/>
      <c r="N49" s="524"/>
      <c r="O49" s="495"/>
      <c r="P49" s="495"/>
    </row>
    <row r="50" spans="1:16" s="510" customFormat="1" ht="47" customHeight="1" x14ac:dyDescent="0.3">
      <c r="A50" s="524"/>
      <c r="B50" s="511"/>
      <c r="C50" s="759"/>
      <c r="D50" s="508" t="s">
        <v>247</v>
      </c>
      <c r="E50" s="742" t="str">
        <f>IF(VLOOKUP(CONCATENATE($C$2,"-",$D50),Languages!$A:$D,1,TRUE)=CONCATENATE($C$2,"-",$D50),VLOOKUP(CONCATENATE($C$2,"-",$D50),Languages!$A:$D,Kybermittari!$C$7,TRUE),NA())</f>
        <v>Organisaatiolla on ennalta määritellyt toimintatavat, jotka aktivoidaan (automaattisesti tai manuaalisesti) koostetun ja analysoidun monitorointitiedon perusteella. [kts. THREAT-1k ja RESPONSE-3h].</v>
      </c>
      <c r="F50" s="742"/>
      <c r="G50" s="742"/>
      <c r="H50" s="493">
        <f>IFERROR(INT(LEFT($I50,1)),0)</f>
        <v>0</v>
      </c>
      <c r="I50" s="54"/>
      <c r="J50" s="527"/>
      <c r="K50" s="509"/>
      <c r="L50" s="483"/>
      <c r="M50" s="545"/>
      <c r="N50" s="523"/>
      <c r="O50" s="495"/>
      <c r="P50" s="495"/>
    </row>
    <row r="51" spans="1:16" s="343" customFormat="1" ht="30" customHeight="1" x14ac:dyDescent="0.25">
      <c r="A51" s="332"/>
      <c r="B51" s="461"/>
      <c r="C51" s="336">
        <v>4</v>
      </c>
      <c r="D51" s="336" t="str">
        <f>IF(VLOOKUP(CONCATENATE($C$2,"-",C51),Languages!$A:$D,1,TRUE)=CONCATENATE($C$2,"-",C51),VLOOKUP(CONCATENATE($C$2,"-",C51),Languages!$A:$D,Kybermittari!$C$7,TRUE),NA())</f>
        <v>Yleisiä hallintatoimia</v>
      </c>
      <c r="E51" s="336"/>
      <c r="F51" s="506"/>
      <c r="G51" s="506"/>
      <c r="H51" s="506"/>
      <c r="I51" s="506" t="s">
        <v>19</v>
      </c>
      <c r="J51" s="507"/>
      <c r="K51" s="339"/>
      <c r="L51" s="332"/>
      <c r="M51" s="533"/>
      <c r="N51" s="636"/>
      <c r="O51" s="341"/>
      <c r="P51" s="341"/>
    </row>
    <row r="52" spans="1:16" s="475" customFormat="1" ht="47" customHeight="1" x14ac:dyDescent="0.3">
      <c r="A52" s="524"/>
      <c r="B52" s="525"/>
      <c r="C52" s="745" t="str">
        <f>IF(VLOOKUP(CONCATENATE($C$2,"-",$C51,"-0"),Languages!$A:$D,1,TRUE)=CONCATENATE($C$2,"-",$C51,"-0"),VLOOKUP(CONCATENATE($C$2,"-",$C51,"-0"),Languages!$A:$D,Kybermittari!$C$7,TRUE),NA())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2" s="745"/>
      <c r="E52" s="745"/>
      <c r="F52" s="745"/>
      <c r="G52" s="745"/>
      <c r="H52" s="745"/>
      <c r="I52" s="745"/>
      <c r="J52" s="745"/>
      <c r="K52" s="471"/>
      <c r="L52" s="483"/>
      <c r="M52" s="545"/>
      <c r="N52" s="523"/>
      <c r="O52" s="473"/>
      <c r="P52" s="473"/>
    </row>
    <row r="53" spans="1:16" s="547" customFormat="1" ht="20" customHeight="1" x14ac:dyDescent="0.3">
      <c r="A53" s="483"/>
      <c r="B53" s="476"/>
      <c r="C53" s="477" t="str">
        <f>IF(VLOOKUP("GEN-LEVEL",Languages!$A:$D,1,TRUE)="GEN-LEVEL",VLOOKUP("GEN-LEVEL",Languages!$A:$D,Kybermittari!$C$7,TRUE),NA())</f>
        <v>Taso</v>
      </c>
      <c r="D53" s="477"/>
      <c r="E53" s="478" t="str">
        <f>IF(VLOOKUP("GEN-PRACTICE",Languages!$A:$D,1,TRUE)="GEN-PRACTICE",VLOOKUP("GEN-PRACTICE",Languages!$A:$D,Kybermittari!$C$7,TRUE),NA())</f>
        <v>Käytäntö</v>
      </c>
      <c r="F53" s="479"/>
      <c r="G53" s="480"/>
      <c r="H53" s="481"/>
      <c r="I53" s="478" t="str">
        <f>IF(VLOOKUP("GEN-ANSWER",Languages!$A:$D,1,TRUE)="GEN-ANSWER",VLOOKUP("GEN-ANSWER",Languages!$A:$D,Kybermittari!$C$7,TRUE),NA())</f>
        <v>Vastaus</v>
      </c>
      <c r="J53" s="480" t="str">
        <f>IF(VLOOKUP("GEN-COMMENT",Languages!$A:$D,1,TRUE)="GEN-COMMENT",VLOOKUP("GEN-COMMENT",Languages!$A:$D,Kybermittari!$C$7,TRUE),NA())</f>
        <v>Kommentti ja viittaukset</v>
      </c>
      <c r="K53" s="482"/>
      <c r="L53" s="483"/>
      <c r="M53" s="545"/>
      <c r="N53" s="523"/>
      <c r="O53" s="546"/>
      <c r="P53" s="546"/>
    </row>
    <row r="54" spans="1:16" s="547" customFormat="1" ht="10" customHeight="1" x14ac:dyDescent="0.3">
      <c r="A54" s="483"/>
      <c r="B54" s="476"/>
      <c r="C54" s="487"/>
      <c r="D54" s="487"/>
      <c r="E54" s="488"/>
      <c r="F54" s="489"/>
      <c r="G54" s="490"/>
      <c r="H54" s="491"/>
      <c r="I54" s="488"/>
      <c r="J54" s="490"/>
      <c r="K54" s="482"/>
      <c r="L54" s="483"/>
      <c r="M54" s="545"/>
      <c r="N54" s="523"/>
      <c r="O54" s="546"/>
      <c r="P54" s="546"/>
    </row>
    <row r="55" spans="1:16" s="547" customFormat="1" ht="20" customHeight="1" x14ac:dyDescent="0.3">
      <c r="A55" s="483"/>
      <c r="B55" s="476"/>
      <c r="C55" s="557">
        <v>1</v>
      </c>
      <c r="D55" s="558"/>
      <c r="E55" s="559"/>
      <c r="F55" s="560"/>
      <c r="G55" s="561"/>
      <c r="H55" s="562"/>
      <c r="I55" s="559"/>
      <c r="J55" s="563"/>
      <c r="K55" s="482"/>
      <c r="L55" s="483"/>
      <c r="M55" s="545"/>
      <c r="N55" s="523"/>
      <c r="O55" s="546"/>
      <c r="P55" s="546"/>
    </row>
    <row r="56" spans="1:16" s="547" customFormat="1" ht="10" customHeight="1" x14ac:dyDescent="0.3">
      <c r="A56" s="483"/>
      <c r="B56" s="476"/>
      <c r="C56" s="487"/>
      <c r="D56" s="487"/>
      <c r="E56" s="488"/>
      <c r="F56" s="489"/>
      <c r="G56" s="490"/>
      <c r="H56" s="491"/>
      <c r="I56" s="488"/>
      <c r="J56" s="490"/>
      <c r="K56" s="482"/>
      <c r="L56" s="483"/>
      <c r="M56" s="545"/>
      <c r="N56" s="523"/>
      <c r="O56" s="546"/>
      <c r="P56" s="546"/>
    </row>
    <row r="57" spans="1:16" s="510" customFormat="1" ht="35" customHeight="1" x14ac:dyDescent="0.3">
      <c r="A57" s="524"/>
      <c r="B57" s="741"/>
      <c r="C57" s="757">
        <v>2</v>
      </c>
      <c r="D57" s="508" t="s">
        <v>126</v>
      </c>
      <c r="E57" s="742" t="str">
        <f>IF(VLOOKUP(CONCATENATE($C$2,"-",$D57),Languages!$A:$D,1,TRUE)=CONCATENATE($C$2,"-",$D57),VLOOKUP(CONCATENATE($C$2,"-",$D57),Languages!$A:$D,Kybermittari!$C$7,TRUE),NA())</f>
        <v>Tilannekuvan (SITUATION) osioon liittyen on määritetty dokumentoidut käytännöt, joita noudatetaan ja pidetään yllä.</v>
      </c>
      <c r="F57" s="742"/>
      <c r="G57" s="742"/>
      <c r="H57" s="493">
        <f>IFERROR(INT(LEFT($I57,1)),0)</f>
        <v>0</v>
      </c>
      <c r="I57" s="54"/>
      <c r="J57" s="527"/>
      <c r="K57" s="509"/>
      <c r="L57" s="524"/>
      <c r="M57" s="545"/>
      <c r="N57" s="524"/>
      <c r="O57" s="495"/>
      <c r="P57" s="495"/>
    </row>
    <row r="58" spans="1:16" s="510" customFormat="1" ht="35" customHeight="1" x14ac:dyDescent="0.3">
      <c r="A58" s="524"/>
      <c r="B58" s="741"/>
      <c r="C58" s="758"/>
      <c r="D58" s="508" t="s">
        <v>129</v>
      </c>
      <c r="E58" s="742" t="str">
        <f>IF(VLOOKUP(CONCATENATE($C$2,"-",$D58),Languages!$A:$D,1,TRUE)=CONCATENATE($C$2,"-",$D58),VLOOKUP(CONCATENATE($C$2,"-",$D58),Languages!$A:$D,Kybermittari!$C$7,TRUE),NA())</f>
        <v>Tilannekuvan (SITUATION) osion toimintaan on saatavilla riittävät resurssit (henkilöstö, rahoitus ja työkalut).</v>
      </c>
      <c r="F58" s="742"/>
      <c r="G58" s="742"/>
      <c r="H58" s="493">
        <f>IFERROR(INT(LEFT($I58,1)),0)</f>
        <v>0</v>
      </c>
      <c r="I58" s="54"/>
      <c r="J58" s="527"/>
      <c r="K58" s="509"/>
      <c r="L58" s="524"/>
      <c r="M58" s="545"/>
      <c r="N58" s="524"/>
      <c r="O58" s="495"/>
      <c r="P58" s="495"/>
    </row>
    <row r="59" spans="1:16" s="510" customFormat="1" ht="35" customHeight="1" x14ac:dyDescent="0.3">
      <c r="A59" s="524"/>
      <c r="B59" s="741"/>
      <c r="C59" s="758"/>
      <c r="D59" s="508" t="s">
        <v>132</v>
      </c>
      <c r="E59" s="742" t="str">
        <f>IF(VLOOKUP(CONCATENATE($C$2,"-",$D59),Languages!$A:$D,1,TRUE)=CONCATENATE($C$2,"-",$D59),VLOOKUP(CONCATENATE($C$2,"-",$D59),Languages!$A:$D,Kybermittari!$C$7,TRUE),NA())</f>
        <v>Tilannekuvan (SITUATION) osion toimintaa suorittavilla työntekijöillä on riittävät tiedot ja taidot tehtäviensä suorittamiseen.</v>
      </c>
      <c r="F59" s="742"/>
      <c r="G59" s="742"/>
      <c r="H59" s="493">
        <f>IFERROR(INT(LEFT($I59,1)),0)</f>
        <v>0</v>
      </c>
      <c r="I59" s="54"/>
      <c r="J59" s="527"/>
      <c r="K59" s="509"/>
      <c r="L59" s="524"/>
      <c r="M59" s="545"/>
      <c r="N59" s="524"/>
      <c r="O59" s="495"/>
      <c r="P59" s="495"/>
    </row>
    <row r="60" spans="1:16" s="510" customFormat="1" ht="35" customHeight="1" x14ac:dyDescent="0.3">
      <c r="A60" s="524"/>
      <c r="B60" s="741"/>
      <c r="C60" s="759"/>
      <c r="D60" s="508" t="s">
        <v>135</v>
      </c>
      <c r="E60" s="742" t="str">
        <f>IF(VLOOKUP(CONCATENATE($C$2,"-",$D60),Languages!$A:$D,1,TRUE)=CONCATENATE($C$2,"-",$D60),VLOOKUP(CONCATENATE($C$2,"-",$D60),Languages!$A:$D,Kybermittari!$C$7,TRUE),NA())</f>
        <v>Tilannekuvan (SITUATION) osion toiminnan suorittamiseen liittyvät vastuut ja valtuudet on osoitettu nimetyille työntekijöille.</v>
      </c>
      <c r="F60" s="742"/>
      <c r="G60" s="742"/>
      <c r="H60" s="493">
        <f>IFERROR(INT(LEFT($I60,1)),0)</f>
        <v>0</v>
      </c>
      <c r="I60" s="54"/>
      <c r="J60" s="527"/>
      <c r="K60" s="509"/>
      <c r="L60" s="524"/>
      <c r="M60" s="545"/>
      <c r="N60" s="524"/>
      <c r="O60" s="495"/>
      <c r="P60" s="495"/>
    </row>
    <row r="61" spans="1:16" s="510" customFormat="1" ht="10" customHeight="1" x14ac:dyDescent="0.3">
      <c r="A61" s="524"/>
      <c r="B61" s="511"/>
      <c r="C61" s="565"/>
      <c r="D61" s="513"/>
      <c r="E61" s="501"/>
      <c r="F61" s="501"/>
      <c r="G61" s="501"/>
      <c r="H61" s="499"/>
      <c r="I61" s="502"/>
      <c r="J61" s="514"/>
      <c r="K61" s="509"/>
      <c r="L61" s="524"/>
      <c r="M61" s="545"/>
      <c r="N61" s="524"/>
      <c r="O61" s="495"/>
      <c r="P61" s="495"/>
    </row>
    <row r="62" spans="1:16" s="510" customFormat="1" ht="47" customHeight="1" x14ac:dyDescent="0.3">
      <c r="A62" s="524"/>
      <c r="B62" s="741"/>
      <c r="C62" s="757">
        <v>3</v>
      </c>
      <c r="D62" s="508" t="s">
        <v>138</v>
      </c>
      <c r="E62" s="742" t="str">
        <f>IF(VLOOKUP(CONCATENATE($C$2,"-",$D62),Languages!$A:$D,1,TRUE)=CONCATENATE($C$2,"-",$D62),VLOOKUP(CONCATENATE($C$2,"-",$D62),Languages!$A:$D,Kybermittari!$C$7,TRUE),NA())</f>
        <v>Tilannekuvan (SITUATION) osion toiminta perustuu organisaation määrittämään ja ylläpitämään johtotason politiikkaan (tai vastaavaan ohjeistukseen), jossa asetetaan nimenomaisia vaatimuksia tämän osion toiminnalle.</v>
      </c>
      <c r="F62" s="742"/>
      <c r="G62" s="742"/>
      <c r="H62" s="493">
        <f>IFERROR(INT(LEFT($I62,1)),0)</f>
        <v>0</v>
      </c>
      <c r="I62" s="54"/>
      <c r="J62" s="527"/>
      <c r="K62" s="509"/>
      <c r="L62" s="524"/>
      <c r="M62" s="545"/>
      <c r="N62" s="524"/>
      <c r="O62" s="495"/>
      <c r="P62" s="495"/>
    </row>
    <row r="63" spans="1:16" s="510" customFormat="1" ht="35" customHeight="1" x14ac:dyDescent="0.3">
      <c r="A63" s="524"/>
      <c r="B63" s="741"/>
      <c r="C63" s="758"/>
      <c r="D63" s="508" t="s">
        <v>140</v>
      </c>
      <c r="E63" s="742" t="str">
        <f>IF(VLOOKUP(CONCATENATE($C$2,"-",$D63),Languages!$A:$D,1,TRUE)=CONCATENATE($C$2,"-",$D63),VLOOKUP(CONCATENATE($C$2,"-",$D63),Languages!$A:$D,Kybermittari!$C$7,TRUE),NA())</f>
        <v>Tilannekuvan (SITUATION) osion toiminnalle on määritetty suoriutumistavoitteet, joiden toteutumista seurataan [kts. PROGRAM-1b].</v>
      </c>
      <c r="F63" s="742"/>
      <c r="G63" s="742"/>
      <c r="H63" s="493">
        <f>IFERROR(INT(LEFT($I63,1)),0)</f>
        <v>0</v>
      </c>
      <c r="I63" s="54"/>
      <c r="J63" s="527"/>
      <c r="K63" s="509"/>
      <c r="L63" s="524"/>
      <c r="M63" s="545"/>
      <c r="N63" s="524"/>
      <c r="O63" s="495"/>
      <c r="P63" s="495"/>
    </row>
    <row r="64" spans="1:16" s="510" customFormat="1" ht="35" customHeight="1" x14ac:dyDescent="0.3">
      <c r="A64" s="524"/>
      <c r="B64" s="741"/>
      <c r="C64" s="759"/>
      <c r="D64" s="508" t="s">
        <v>255</v>
      </c>
      <c r="E64" s="742" t="str">
        <f>IF(VLOOKUP(CONCATENATE($C$2,"-",$D64),Languages!$A:$D,1,TRUE)=CONCATENATE($C$2,"-",$D64),VLOOKUP(CONCATENATE($C$2,"-",$D64),Languages!$A:$D,Kybermittari!$C$7,TRUE),NA())</f>
        <v>Tilannekuvan (SITUATION) osioon liittyvät käytännöt on standardoitu läpi koko organisaation ja niitä kehitetään aktiivisesti.</v>
      </c>
      <c r="F64" s="742"/>
      <c r="G64" s="742"/>
      <c r="H64" s="493">
        <f>IFERROR(INT(LEFT($I64,1)),0)</f>
        <v>0</v>
      </c>
      <c r="I64" s="54"/>
      <c r="J64" s="527"/>
      <c r="K64" s="509"/>
      <c r="L64" s="524"/>
      <c r="M64" s="545"/>
      <c r="N64" s="524"/>
      <c r="O64" s="495"/>
      <c r="P64" s="495"/>
    </row>
    <row r="65" spans="1:14" x14ac:dyDescent="0.25">
      <c r="A65" s="347"/>
      <c r="B65" s="619"/>
      <c r="C65" s="620"/>
      <c r="D65" s="621"/>
      <c r="E65" s="622"/>
      <c r="F65" s="622"/>
      <c r="G65" s="622"/>
      <c r="H65" s="623"/>
      <c r="I65" s="624"/>
      <c r="J65" s="625"/>
      <c r="K65" s="626"/>
      <c r="L65" s="347"/>
      <c r="M65" s="533"/>
      <c r="N65" s="347"/>
    </row>
    <row r="66" spans="1:14" x14ac:dyDescent="0.25">
      <c r="A66" s="347"/>
      <c r="B66" s="347"/>
      <c r="C66" s="347"/>
      <c r="D66" s="347"/>
      <c r="E66" s="347"/>
      <c r="F66" s="347"/>
      <c r="G66" s="347"/>
      <c r="H66" s="627"/>
      <c r="I66" s="347"/>
      <c r="J66" s="347"/>
      <c r="K66" s="347"/>
      <c r="L66" s="347"/>
      <c r="M66" s="533"/>
      <c r="N66" s="347"/>
    </row>
    <row r="67" spans="1:14" x14ac:dyDescent="0.25">
      <c r="L67" s="631"/>
      <c r="M67" s="630"/>
      <c r="N67" s="349"/>
    </row>
  </sheetData>
  <sheetProtection sheet="1" objects="1" scenarios="1"/>
  <mergeCells count="48">
    <mergeCell ref="C5:J5"/>
    <mergeCell ref="E64:G64"/>
    <mergeCell ref="C16:C17"/>
    <mergeCell ref="C42:C44"/>
    <mergeCell ref="C46:C50"/>
    <mergeCell ref="C32:C35"/>
    <mergeCell ref="C27:C30"/>
    <mergeCell ref="C52:J52"/>
    <mergeCell ref="E44:G44"/>
    <mergeCell ref="E46:G46"/>
    <mergeCell ref="E47:G47"/>
    <mergeCell ref="E48:G48"/>
    <mergeCell ref="E49:G49"/>
    <mergeCell ref="E50:G50"/>
    <mergeCell ref="E35:G35"/>
    <mergeCell ref="C37:J37"/>
    <mergeCell ref="B62:B64"/>
    <mergeCell ref="E62:G62"/>
    <mergeCell ref="E63:G63"/>
    <mergeCell ref="C57:C60"/>
    <mergeCell ref="C62:C64"/>
    <mergeCell ref="B57:B60"/>
    <mergeCell ref="E57:G57"/>
    <mergeCell ref="E58:G58"/>
    <mergeCell ref="E59:G59"/>
    <mergeCell ref="E60:G60"/>
    <mergeCell ref="E42:G42"/>
    <mergeCell ref="E43:G43"/>
    <mergeCell ref="B27:B35"/>
    <mergeCell ref="E27:G27"/>
    <mergeCell ref="E28:G28"/>
    <mergeCell ref="E29:G29"/>
    <mergeCell ref="E30:G30"/>
    <mergeCell ref="E32:G32"/>
    <mergeCell ref="E33:G33"/>
    <mergeCell ref="E34:G34"/>
    <mergeCell ref="C21:J21"/>
    <mergeCell ref="B24:B25"/>
    <mergeCell ref="C24:C25"/>
    <mergeCell ref="E24:G24"/>
    <mergeCell ref="E25:G25"/>
    <mergeCell ref="C11:J11"/>
    <mergeCell ref="B14:B16"/>
    <mergeCell ref="E14:G14"/>
    <mergeCell ref="E16:G16"/>
    <mergeCell ref="B17:B19"/>
    <mergeCell ref="E17:G17"/>
    <mergeCell ref="E19:G19"/>
  </mergeCells>
  <conditionalFormatting sqref="H40">
    <cfRule type="containsText" dxfId="56" priority="7" operator="containsText" text="0">
      <formula>NOT(ISERROR(SEARCH("0",H40)))</formula>
    </cfRule>
  </conditionalFormatting>
  <conditionalFormatting sqref="H55">
    <cfRule type="containsText" dxfId="55" priority="5" operator="containsText" text="0">
      <formula>NOT(ISERROR(SEARCH("0",H55)))</formula>
    </cfRule>
  </conditionalFormatting>
  <conditionalFormatting sqref="H1:H1048576">
    <cfRule type="containsText" dxfId="54"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EF75874F-029A-4B47-956D-E1812871621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H40</xm:sqref>
        </x14:conditionalFormatting>
        <x14:conditionalFormatting xmlns:xm="http://schemas.microsoft.com/office/excel/2006/main">
          <x14:cfRule type="iconSet" priority="6" id="{4B8E50D5-6EAE-40F2-A667-9E9A5712B11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H55</xm:sqref>
        </x14:conditionalFormatting>
        <x14:conditionalFormatting xmlns:xm="http://schemas.microsoft.com/office/excel/2006/main">
          <x14:cfRule type="iconSet" priority="4" id="{F06151A1-6285-4FAA-948D-5C64D6EDDF2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I16:I17 I19 I24:I25 I27:I30 I32:I35 I42:I44 I46:I50 I57:I60 I62:I64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P68"/>
  <sheetViews>
    <sheetView showGridLines="0" zoomScaleNormal="100" workbookViewId="0">
      <selection activeCell="I14" sqref="I14"/>
    </sheetView>
  </sheetViews>
  <sheetFormatPr defaultColWidth="9.28515625" defaultRowHeight="13.5" x14ac:dyDescent="0.25"/>
  <cols>
    <col min="1" max="2" width="1.640625" style="351" customWidth="1"/>
    <col min="3" max="3" width="2.640625" style="351" customWidth="1"/>
    <col min="4" max="4" width="2.640625" style="628" customWidth="1"/>
    <col min="5" max="5" width="38.7109375" style="351" customWidth="1"/>
    <col min="6" max="6" width="3.640625" style="351" customWidth="1"/>
    <col min="7" max="7" width="16.640625" style="534" customWidth="1"/>
    <col min="8" max="8" width="2.640625" style="608" customWidth="1"/>
    <col min="9" max="9" width="14.640625" style="534" customWidth="1"/>
    <col min="10" max="10" width="45.640625" style="629" customWidth="1"/>
    <col min="11" max="11" width="1.640625" style="351" customWidth="1"/>
    <col min="12" max="12" width="1.640625" style="630" customWidth="1"/>
    <col min="13" max="13" width="1.640625" style="631" customWidth="1"/>
    <col min="14" max="14" width="1.640625" style="630" customWidth="1"/>
    <col min="15" max="16" width="9.0703125" style="349" customWidth="1"/>
    <col min="17" max="17" width="9.0703125" style="351" customWidth="1"/>
    <col min="18" max="16384" width="9.28515625" style="351"/>
  </cols>
  <sheetData>
    <row r="1" spans="1:16" x14ac:dyDescent="0.25">
      <c r="A1" s="344"/>
      <c r="B1" s="344"/>
      <c r="C1" s="344"/>
      <c r="D1" s="344"/>
      <c r="E1" s="344"/>
      <c r="F1" s="344"/>
      <c r="G1" s="586"/>
      <c r="H1" s="587"/>
      <c r="I1" s="586"/>
      <c r="J1" s="586"/>
      <c r="K1" s="344"/>
      <c r="L1" s="344"/>
      <c r="M1" s="588"/>
      <c r="N1" s="344"/>
    </row>
    <row r="2" spans="1:16" s="343" customFormat="1" ht="25" customHeight="1" x14ac:dyDescent="0.25">
      <c r="A2" s="332"/>
      <c r="B2" s="589"/>
      <c r="C2" s="590" t="s">
        <v>74</v>
      </c>
      <c r="D2" s="591"/>
      <c r="E2" s="592"/>
      <c r="F2" s="592"/>
      <c r="G2" s="592"/>
      <c r="H2" s="593"/>
      <c r="I2" s="593"/>
      <c r="J2" s="594"/>
      <c r="K2" s="595"/>
      <c r="L2" s="332"/>
      <c r="M2" s="533"/>
      <c r="N2" s="332"/>
      <c r="O2" s="341"/>
      <c r="P2" s="341"/>
    </row>
    <row r="3" spans="1:16" s="598" customFormat="1" ht="25" customHeight="1" x14ac:dyDescent="0.35">
      <c r="A3" s="596"/>
      <c r="B3" s="597"/>
      <c r="C3" s="321" t="str">
        <f>IF(VLOOKUP($C$2,Languages!$A:$D,1,TRUE)=$C$2,VLOOKUP($C$2,Languages!$A:$D,Kybermittari!$C$7,TRUE),NA())</f>
        <v>Tapahtumien ja häiriötilanteiden hallinta</v>
      </c>
      <c r="D3" s="449"/>
      <c r="E3" s="450"/>
      <c r="G3" s="599"/>
      <c r="H3" s="600"/>
      <c r="I3" s="600"/>
      <c r="J3" s="601"/>
      <c r="K3" s="602"/>
      <c r="L3" s="596"/>
      <c r="M3" s="603"/>
      <c r="N3" s="596"/>
      <c r="O3" s="604"/>
      <c r="P3" s="604"/>
    </row>
    <row r="4" spans="1:16" ht="10" customHeight="1" x14ac:dyDescent="0.25">
      <c r="A4" s="344"/>
      <c r="B4" s="532"/>
      <c r="C4" s="605"/>
      <c r="D4" s="606"/>
      <c r="E4" s="606"/>
      <c r="F4" s="606"/>
      <c r="G4" s="606"/>
      <c r="H4" s="452"/>
      <c r="I4" s="452"/>
      <c r="J4" s="375"/>
      <c r="K4" s="356"/>
      <c r="L4" s="344"/>
      <c r="M4" s="533"/>
      <c r="N4" s="344"/>
    </row>
    <row r="5" spans="1:16" ht="50.5" customHeight="1" x14ac:dyDescent="0.25">
      <c r="A5" s="344"/>
      <c r="B5" s="532"/>
      <c r="C5" s="750" t="str">
        <f>IF(VLOOKUP(CONCATENATE(C2,"-0"),Languages!$A:$D,1,TRUE)=CONCATENATE(C2,"-0"),VLOOKUP(CONCATENATE(C2,"-0"),Languages!$A:$D,Kybermittari!$C$7,TRUE),NA())</f>
        <v>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v>
      </c>
      <c r="D5" s="750"/>
      <c r="E5" s="750"/>
      <c r="F5" s="750"/>
      <c r="G5" s="750"/>
      <c r="H5" s="750"/>
      <c r="I5" s="750"/>
      <c r="J5" s="750"/>
      <c r="K5" s="356"/>
      <c r="L5" s="344"/>
      <c r="M5" s="533"/>
      <c r="N5" s="344"/>
    </row>
    <row r="6" spans="1:16" ht="14.5" x14ac:dyDescent="0.25">
      <c r="A6" s="344"/>
      <c r="B6" s="532"/>
      <c r="C6" s="456">
        <v>1</v>
      </c>
      <c r="D6" s="457" t="s">
        <v>2</v>
      </c>
      <c r="E6" s="458" t="str">
        <f>IF(VLOOKUP(CONCATENATE($C$2,"-",C6),Languages!$A:$D,1,TRUE)=CONCATENATE($C$2,"-",C6),VLOOKUP(CONCATENATE($C$2,"-",C6),Languages!$A:$D,Kybermittari!$C$7,TRUE),NA())</f>
        <v>Kybertapahtumien havainnointi</v>
      </c>
      <c r="F6" s="607"/>
      <c r="G6" s="386"/>
      <c r="I6" s="459" t="str">
        <f ca="1">VLOOKUP(VLOOKUP(CONCATENATE($C$2,"-",$C6),Data!$K:$O,5,FALSE),Parameters!$C$7:$F$10,Kybermittari!$C$7,FALSE)</f>
        <v>Kypsyystaso 0</v>
      </c>
      <c r="J6" s="460" t="str">
        <f>IF(VLOOKUP("GEN-TOTAL",Languages!$A:$D,1,TRUE)="GEN-TOTAL",VLOOKUP("GEN-TOTAL",Languages!$A:$D,Kybermittari!$C$7,TRUE),NA())</f>
        <v>Kokonaisarvio</v>
      </c>
      <c r="K6" s="356"/>
      <c r="L6" s="344"/>
      <c r="M6" s="533"/>
      <c r="N6" s="344"/>
    </row>
    <row r="7" spans="1:16" ht="14.5" x14ac:dyDescent="0.25">
      <c r="A7" s="344"/>
      <c r="B7" s="532"/>
      <c r="C7" s="456">
        <v>2</v>
      </c>
      <c r="D7" s="457" t="s">
        <v>2</v>
      </c>
      <c r="E7" s="458" t="str">
        <f>IF(VLOOKUP(CONCATENATE($C$2,"-",C7),Languages!$A:$D,1,TRUE)=CONCATENATE($C$2,"-",C7),VLOOKUP(CONCATENATE($C$2,"-",C7),Languages!$A:$D,Kybermittari!$C$7,TRUE),NA())</f>
        <v>Kybertapahtumien analysointi ja häiriöksi korottaminen</v>
      </c>
      <c r="F7" s="607"/>
      <c r="G7" s="386"/>
      <c r="H7" s="609"/>
      <c r="I7" s="459" t="str">
        <f ca="1">VLOOKUP(VLOOKUP(CONCATENATE($C$2,"-",$C7),Data!$K:$O,5,FALSE),Parameters!$C$7:$F$10,Kybermittari!$C$7,FALSE)</f>
        <v>Kypsyystaso 0</v>
      </c>
      <c r="J7" s="452" t="str">
        <f ca="1">VLOOKUP(VLOOKUP(CONCATENATE($C$2),Data!$K:$O,5,FALSE),Parameters!$C$7:$F$10,Kybermittari!$C$7,FALSE)</f>
        <v>Kypsyystaso 0</v>
      </c>
      <c r="K7" s="356"/>
      <c r="L7" s="344"/>
      <c r="M7" s="533"/>
      <c r="N7" s="344"/>
    </row>
    <row r="8" spans="1:16" ht="14.5" x14ac:dyDescent="0.25">
      <c r="A8" s="344"/>
      <c r="B8" s="532"/>
      <c r="C8" s="456">
        <v>3</v>
      </c>
      <c r="D8" s="457" t="s">
        <v>2</v>
      </c>
      <c r="E8" s="458" t="str">
        <f>IF(VLOOKUP(CONCATENATE($C$2,"-",C8),Languages!$A:$D,1,TRUE)=CONCATENATE($C$2,"-",C8),VLOOKUP(CONCATENATE($C$2,"-",C8),Languages!$A:$D,Kybermittari!$C$7,TRUE),NA())</f>
        <v>Kybertapahtumiin ja -häiriötilanteisiin reagointi</v>
      </c>
      <c r="F8" s="607"/>
      <c r="G8" s="386"/>
      <c r="H8" s="610"/>
      <c r="I8" s="459" t="str">
        <f ca="1">VLOOKUP(VLOOKUP(CONCATENATE($C$2,"-",$C8),Data!$K:$O,5,FALSE),Parameters!$C$7:$F$10,Kybermittari!$C$7,FALSE)</f>
        <v>Kypsyystaso 0</v>
      </c>
      <c r="J8" s="611"/>
      <c r="K8" s="356"/>
      <c r="L8" s="344"/>
      <c r="M8" s="533"/>
      <c r="N8" s="344"/>
    </row>
    <row r="9" spans="1:16" ht="14.5" x14ac:dyDescent="0.25">
      <c r="A9" s="344"/>
      <c r="B9" s="532"/>
      <c r="C9" s="456">
        <v>4</v>
      </c>
      <c r="D9" s="457" t="s">
        <v>2</v>
      </c>
      <c r="E9" s="458" t="str">
        <f>IF(VLOOKUP(CONCATENATE($C$2,"-",C9),Languages!$A:$D,1,TRUE)=CONCATENATE($C$2,"-",C9),VLOOKUP(CONCATENATE($C$2,"-",C9),Languages!$A:$D,Kybermittari!$C$7,TRUE),NA())</f>
        <v>Yleisiä hallintatoimia</v>
      </c>
      <c r="F9" s="607"/>
      <c r="G9" s="386"/>
      <c r="H9" s="633"/>
      <c r="I9" s="459" t="str">
        <f ca="1">VLOOKUP(VLOOKUP(CONCATENATE($C$2,"-",$C9),Data!$K:$O,5,FALSE),Parameters!$C$7:$F$10,Kybermittari!$C$7,FALSE)</f>
        <v>Kypsyystaso 1</v>
      </c>
      <c r="J9" s="611"/>
      <c r="K9" s="356"/>
      <c r="L9" s="344"/>
      <c r="M9" s="533"/>
      <c r="N9" s="344"/>
    </row>
    <row r="10" spans="1:16" s="343" customFormat="1" ht="30" customHeight="1" x14ac:dyDescent="0.25">
      <c r="A10" s="332"/>
      <c r="B10" s="461"/>
      <c r="C10" s="336">
        <v>1</v>
      </c>
      <c r="D10" s="336" t="str">
        <f>IF(VLOOKUP(CONCATENATE($C$2,"-",C10),Languages!$A:$D,1,TRUE)=CONCATENATE($C$2,"-",C10),VLOOKUP(CONCATENATE($C$2,"-",C10),Languages!$A:$D,Kybermittari!$C$7,TRUE),NA())</f>
        <v>Kybertapahtumien havainnointi</v>
      </c>
      <c r="E10" s="336"/>
      <c r="F10" s="463"/>
      <c r="G10" s="463"/>
      <c r="H10" s="464"/>
      <c r="I10" s="464"/>
      <c r="J10" s="465"/>
      <c r="K10" s="466"/>
      <c r="L10" s="467"/>
      <c r="M10" s="533"/>
      <c r="N10" s="332"/>
      <c r="O10" s="341"/>
      <c r="P10" s="341"/>
    </row>
    <row r="11" spans="1:16" s="475" customFormat="1" ht="47.5" customHeight="1" x14ac:dyDescent="0.3">
      <c r="A11" s="469"/>
      <c r="B11" s="470"/>
      <c r="C11" s="745" t="str">
        <f>IF(VLOOKUP(CONCATENATE($C$2,"-",$C10,"-0"),Languages!$A:$D,1,TRUE)=CONCATENATE($C$2,"-",$C10,"-0"),VLOOKUP(CONCATENATE($C$2,"-",$C10,"-0"),Languages!$A:$D,Kybermittari!$C$7,TRUE),NA())</f>
        <v>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v>
      </c>
      <c r="D11" s="745"/>
      <c r="E11" s="745"/>
      <c r="F11" s="745"/>
      <c r="G11" s="745"/>
      <c r="H11" s="745"/>
      <c r="I11" s="745"/>
      <c r="J11" s="745"/>
      <c r="K11" s="471"/>
      <c r="L11" s="469"/>
      <c r="M11" s="545"/>
      <c r="N11" s="469"/>
      <c r="O11" s="473"/>
      <c r="P11" s="473"/>
    </row>
    <row r="12" spans="1:16" s="547" customFormat="1" ht="20" customHeight="1" x14ac:dyDescent="0.3">
      <c r="A12" s="483"/>
      <c r="B12" s="476"/>
      <c r="C12" s="477" t="str">
        <f>IF(VLOOKUP("GEN-LEVEL",Languages!$A:$D,1,TRUE)="GEN-LEVEL",VLOOKUP("GEN-LEVEL",Languages!$A:$D,Kybermittari!$C$7,TRUE),NA())</f>
        <v>Taso</v>
      </c>
      <c r="D12" s="477"/>
      <c r="E12" s="478" t="str">
        <f>IF(VLOOKUP("GEN-PRACTICE",Languages!$A:$D,1,TRUE)="GEN-PRACTICE",VLOOKUP("GEN-PRACTICE",Languages!$A:$D,Kybermittari!$C$7,TRUE),NA())</f>
        <v>Käytäntö</v>
      </c>
      <c r="F12" s="479"/>
      <c r="G12" s="480"/>
      <c r="H12" s="481"/>
      <c r="I12" s="478" t="str">
        <f>IF(VLOOKUP("GEN-ANSWER",Languages!$A:$D,1,TRUE)="GEN-ANSWER",VLOOKUP("GEN-ANSWER",Languages!$A:$D,Kybermittari!$C$7,TRUE),NA())</f>
        <v>Vastaus</v>
      </c>
      <c r="J12" s="480" t="str">
        <f>IF(VLOOKUP("GEN-COMMENT",Languages!$A:$D,1,TRUE)="GEN-COMMENT",VLOOKUP("GEN-COMMENT",Languages!$A:$D,Kybermittari!$C$7,TRUE),NA())</f>
        <v>Kommentti ja viittaukset</v>
      </c>
      <c r="K12" s="482"/>
      <c r="L12" s="483"/>
      <c r="M12" s="545"/>
      <c r="N12" s="483"/>
      <c r="O12" s="546"/>
      <c r="P12" s="546"/>
    </row>
    <row r="13" spans="1:16" s="547" customFormat="1" ht="10" customHeight="1" x14ac:dyDescent="0.3">
      <c r="A13" s="483"/>
      <c r="B13" s="476"/>
      <c r="C13" s="487"/>
      <c r="D13" s="487"/>
      <c r="E13" s="488"/>
      <c r="F13" s="489"/>
      <c r="G13" s="490"/>
      <c r="H13" s="491"/>
      <c r="I13" s="488"/>
      <c r="J13" s="490"/>
      <c r="K13" s="482"/>
      <c r="L13" s="483"/>
      <c r="M13" s="545"/>
      <c r="N13" s="483"/>
      <c r="O13" s="546"/>
      <c r="P13" s="546"/>
    </row>
    <row r="14" spans="1:16" s="495" customFormat="1" ht="35" customHeight="1" x14ac:dyDescent="0.3">
      <c r="A14" s="469"/>
      <c r="B14" s="749"/>
      <c r="C14" s="635">
        <v>1</v>
      </c>
      <c r="D14" s="492" t="s">
        <v>7</v>
      </c>
      <c r="E14" s="742" t="str">
        <f>IF(VLOOKUP(CONCATENATE($C$2,"-",$D14),Languages!$A:$D,1,TRUE)=CONCATENATE($C$2,"-",$D14),VLOOKUP(CONCATENATE($C$2,"-",$D14),Languages!$A:$D,Kybermittari!$C$7,TRUE),NA())</f>
        <v>Havaitut kybertapahtumat raportoidaan - ainakin tapauskohtaisesti - nimetylle henkilölle tai roolille, joka rekisteröi tapahtumat.</v>
      </c>
      <c r="F14" s="742"/>
      <c r="G14" s="742"/>
      <c r="H14" s="493">
        <f t="shared" ref="H14" si="0">IFERROR(INT(LEFT($I14,1)),0)</f>
        <v>0</v>
      </c>
      <c r="I14" s="54"/>
      <c r="J14" s="526"/>
      <c r="K14" s="494"/>
      <c r="L14" s="483"/>
      <c r="M14" s="545"/>
      <c r="N14" s="483"/>
    </row>
    <row r="15" spans="1:16" s="495" customFormat="1" ht="10" customHeight="1" x14ac:dyDescent="0.3">
      <c r="A15" s="469"/>
      <c r="B15" s="749"/>
      <c r="C15" s="498"/>
      <c r="D15" s="499"/>
      <c r="E15" s="501"/>
      <c r="F15" s="501"/>
      <c r="G15" s="501"/>
      <c r="H15" s="499"/>
      <c r="I15" s="502"/>
      <c r="J15" s="502"/>
      <c r="K15" s="494"/>
      <c r="L15" s="483"/>
      <c r="M15" s="545"/>
      <c r="N15" s="483"/>
    </row>
    <row r="16" spans="1:16" s="495" customFormat="1" ht="35" customHeight="1" x14ac:dyDescent="0.3">
      <c r="A16" s="469"/>
      <c r="B16" s="749"/>
      <c r="C16" s="751">
        <v>2</v>
      </c>
      <c r="D16" s="492" t="s">
        <v>9</v>
      </c>
      <c r="E16" s="742" t="str">
        <f>IF(VLOOKUP(CONCATENATE($C$2,"-",$D16),Languages!$A:$D,1,TRUE)=CONCATENATE($C$2,"-",$D16),VLOOKUP(CONCATENATE($C$2,"-",$D16),Languages!$A:$D,Kybermittari!$C$7,TRUE),NA())</f>
        <v>Kybertapahtumien havaitsemiselle on määritelty kriteerit (esim. tapahtuman määritelmä, mistä tapahtumia etsitään).</v>
      </c>
      <c r="F16" s="742"/>
      <c r="G16" s="742"/>
      <c r="H16" s="493">
        <f>IFERROR(INT(LEFT($I16,1)),0)</f>
        <v>0</v>
      </c>
      <c r="I16" s="54"/>
      <c r="J16" s="526"/>
      <c r="K16" s="494"/>
      <c r="L16" s="469"/>
      <c r="M16" s="545"/>
      <c r="N16" s="469"/>
    </row>
    <row r="17" spans="1:16" s="495" customFormat="1" ht="35" customHeight="1" x14ac:dyDescent="0.3">
      <c r="A17" s="469"/>
      <c r="B17" s="749"/>
      <c r="C17" s="753"/>
      <c r="D17" s="492" t="s">
        <v>10</v>
      </c>
      <c r="E17" s="742" t="str">
        <f>IF(VLOOKUP(CONCATENATE($C$2,"-",$D17),Languages!$A:$D,1,TRUE)=CONCATENATE($C$2,"-",$D17),VLOOKUP(CONCATENATE($C$2,"-",$D17),Languages!$A:$D,Kybermittari!$C$7,TRUE),NA())</f>
        <v>Kybertapahtumat kirjataan keskitetysti organisaation määrittämien kriteerien mukaisesti.</v>
      </c>
      <c r="F17" s="742"/>
      <c r="G17" s="742"/>
      <c r="H17" s="493">
        <f>IFERROR(INT(LEFT($I17,1)),0)</f>
        <v>0</v>
      </c>
      <c r="I17" s="54"/>
      <c r="J17" s="526"/>
      <c r="K17" s="494"/>
      <c r="L17" s="469"/>
      <c r="M17" s="545"/>
      <c r="N17" s="469"/>
    </row>
    <row r="18" spans="1:16" s="495" customFormat="1" ht="10" customHeight="1" x14ac:dyDescent="0.3">
      <c r="A18" s="469"/>
      <c r="B18" s="749"/>
      <c r="C18" s="498"/>
      <c r="D18" s="499"/>
      <c r="E18" s="501"/>
      <c r="F18" s="501"/>
      <c r="G18" s="501"/>
      <c r="H18" s="499"/>
      <c r="I18" s="502"/>
      <c r="J18" s="502"/>
      <c r="K18" s="494"/>
      <c r="L18" s="469"/>
      <c r="M18" s="545"/>
      <c r="N18" s="469"/>
    </row>
    <row r="19" spans="1:16" s="495" customFormat="1" ht="35" customHeight="1" x14ac:dyDescent="0.3">
      <c r="A19" s="469"/>
      <c r="B19" s="749"/>
      <c r="C19" s="751">
        <v>3</v>
      </c>
      <c r="D19" s="492" t="s">
        <v>11</v>
      </c>
      <c r="E19" s="742" t="str">
        <f>IF(VLOOKUP(CONCATENATE($C$2,"-",$D19),Languages!$A:$D,1,TRUE)=CONCATENATE($C$2,"-",$D19),VLOOKUP(CONCATENATE($C$2,"-",$D19),Languages!$A:$D,Kybermittari!$C$7,TRUE),NA())</f>
        <v>Tapahtumatietoja korreloidaan ja analysoidaan, jotta tunnistetaan mahdolliset säännönmukaisuudet, kehityssuunnat ja muut yhteiset piirteet.</v>
      </c>
      <c r="F19" s="742"/>
      <c r="G19" s="742"/>
      <c r="H19" s="493">
        <f>IFERROR(INT(LEFT($I19,1)),0)</f>
        <v>0</v>
      </c>
      <c r="I19" s="54"/>
      <c r="J19" s="526"/>
      <c r="K19" s="494"/>
      <c r="L19" s="549"/>
      <c r="M19" s="545"/>
      <c r="N19" s="549"/>
    </row>
    <row r="20" spans="1:16" s="495" customFormat="1" ht="60" customHeight="1" x14ac:dyDescent="0.3">
      <c r="A20" s="469"/>
      <c r="B20" s="749"/>
      <c r="C20" s="752"/>
      <c r="D20" s="492" t="s">
        <v>12</v>
      </c>
      <c r="E20" s="742" t="str">
        <f>IF(VLOOKUP(CONCATENATE($C$2,"-",$D20),Languages!$A:$D,1,TRUE)=CONCATENATE($C$2,"-",$D20),VLOOKUP(CONCATENATE($C$2,"-",$D20),Languages!$A:$D,Kybermittari!$C$7,TRUE),NA())</f>
        <v>Kybertapahtumien havaitsemistoimintoja ja -kyvykkyyttä kehitetään organisaation riskirekisterin [kts. RISK-1d] ja uhkaprofiilin [kts. THREAT-1d] tietojen perusteella  tunnettujen uhkien havaitsemiseksi ja tunnistettujen riskien seuraamiseksi.</v>
      </c>
      <c r="F20" s="742"/>
      <c r="G20" s="742"/>
      <c r="H20" s="493">
        <f>IFERROR(INT(LEFT($I20,1)),0)</f>
        <v>0</v>
      </c>
      <c r="I20" s="54"/>
      <c r="J20" s="526"/>
      <c r="K20" s="494"/>
      <c r="L20" s="469"/>
      <c r="M20" s="545"/>
      <c r="N20" s="469"/>
    </row>
    <row r="21" spans="1:16" s="495" customFormat="1" ht="35" customHeight="1" x14ac:dyDescent="0.3">
      <c r="A21" s="469"/>
      <c r="B21" s="749"/>
      <c r="C21" s="753"/>
      <c r="D21" s="492" t="s">
        <v>13</v>
      </c>
      <c r="E21" s="748" t="str">
        <f>IF(VLOOKUP(CONCATENATE($C$2,"-",$D21),Languages!$A:$D,1,TRUE)=CONCATENATE($C$2,"-",$D21),VLOOKUP(CONCATENATE($C$2,"-",$D21),Languages!$A:$D,Kybermittari!$C$7,TRUE),NA())</f>
        <v>Kybertapahtumien tunnistamiseen käytetään organisaation koostamaa tilannekuvaa [kts. SITUATION-2i].</v>
      </c>
      <c r="F21" s="748"/>
      <c r="G21" s="748"/>
      <c r="H21" s="493">
        <f>IFERROR(INT(LEFT($I21,1)),0)</f>
        <v>0</v>
      </c>
      <c r="I21" s="54"/>
      <c r="J21" s="526"/>
      <c r="K21" s="494"/>
      <c r="L21" s="469"/>
      <c r="M21" s="545"/>
      <c r="N21" s="469"/>
    </row>
    <row r="22" spans="1:16" s="343" customFormat="1" ht="30" customHeight="1" x14ac:dyDescent="0.25">
      <c r="A22" s="332"/>
      <c r="B22" s="461"/>
      <c r="C22" s="336">
        <v>2</v>
      </c>
      <c r="D22" s="336" t="str">
        <f>IF(VLOOKUP(CONCATENATE($C$2,"-",C22),Languages!$A:$D,1,TRUE)=CONCATENATE($C$2,"-",C22),VLOOKUP(CONCATENATE($C$2,"-",C22),Languages!$A:$D,Kybermittari!$C$7,TRUE),NA())</f>
        <v>Kybertapahtumien analysointi ja häiriöksi korottaminen</v>
      </c>
      <c r="E22" s="336"/>
      <c r="F22" s="506"/>
      <c r="G22" s="506"/>
      <c r="H22" s="506"/>
      <c r="I22" s="506" t="s">
        <v>19</v>
      </c>
      <c r="J22" s="507"/>
      <c r="K22" s="339"/>
      <c r="L22" s="347"/>
      <c r="M22" s="533"/>
      <c r="N22" s="347"/>
      <c r="O22" s="341"/>
      <c r="P22" s="341"/>
    </row>
    <row r="23" spans="1:16" s="475" customFormat="1" ht="60" customHeight="1" x14ac:dyDescent="0.3">
      <c r="A23" s="469"/>
      <c r="B23" s="470"/>
      <c r="C23" s="745" t="str">
        <f>IF(VLOOKUP(CONCATENATE($C$2,"-",$C22,"-0"),Languages!$A:$D,1,TRUE)=CONCATENATE($C$2,"-",$C22,"-0"),VLOOKUP(CONCATENATE($C$2,"-",$C22,"-0"),Languages!$A:$D,Kybermittari!$C$7,TRUE),NA())</f>
        <v>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v>
      </c>
      <c r="D23" s="745"/>
      <c r="E23" s="745"/>
      <c r="F23" s="745"/>
      <c r="G23" s="745"/>
      <c r="H23" s="745"/>
      <c r="I23" s="745"/>
      <c r="J23" s="745"/>
      <c r="K23" s="471"/>
      <c r="L23" s="524"/>
      <c r="M23" s="545"/>
      <c r="N23" s="524"/>
      <c r="O23" s="473"/>
      <c r="P23" s="473"/>
    </row>
    <row r="24" spans="1:16" s="547" customFormat="1" ht="20" customHeight="1" x14ac:dyDescent="0.3">
      <c r="A24" s="483"/>
      <c r="B24" s="476"/>
      <c r="C24" s="477" t="str">
        <f>IF(VLOOKUP("GEN-LEVEL",Languages!$A:$D,1,TRUE)="GEN-LEVEL",VLOOKUP("GEN-LEVEL",Languages!$A:$D,Kybermittari!$C$7,TRUE),NA())</f>
        <v>Taso</v>
      </c>
      <c r="D24" s="477"/>
      <c r="E24" s="478" t="str">
        <f>IF(VLOOKUP("GEN-PRACTICE",Languages!$A:$D,1,TRUE)="GEN-PRACTICE",VLOOKUP("GEN-PRACTICE",Languages!$A:$D,Kybermittari!$C$7,TRUE),NA())</f>
        <v>Käytäntö</v>
      </c>
      <c r="F24" s="479"/>
      <c r="G24" s="480"/>
      <c r="H24" s="481"/>
      <c r="I24" s="478" t="str">
        <f>IF(VLOOKUP("GEN-ANSWER",Languages!$A:$D,1,TRUE)="GEN-ANSWER",VLOOKUP("GEN-ANSWER",Languages!$A:$D,Kybermittari!$C$7,TRUE),NA())</f>
        <v>Vastaus</v>
      </c>
      <c r="J24" s="480" t="str">
        <f>IF(VLOOKUP("GEN-COMMENT",Languages!$A:$D,1,TRUE)="GEN-COMMENT",VLOOKUP("GEN-COMMENT",Languages!$A:$D,Kybermittari!$C$7,TRUE),NA())</f>
        <v>Kommentti ja viittaukset</v>
      </c>
      <c r="K24" s="482"/>
      <c r="L24" s="524"/>
      <c r="M24" s="545"/>
      <c r="N24" s="524"/>
      <c r="O24" s="546"/>
      <c r="P24" s="546"/>
    </row>
    <row r="25" spans="1:16" s="547" customFormat="1" ht="10" customHeight="1" x14ac:dyDescent="0.3">
      <c r="A25" s="483"/>
      <c r="B25" s="476"/>
      <c r="C25" s="487"/>
      <c r="D25" s="487"/>
      <c r="E25" s="488"/>
      <c r="F25" s="489"/>
      <c r="G25" s="490"/>
      <c r="H25" s="491"/>
      <c r="I25" s="488"/>
      <c r="J25" s="490"/>
      <c r="K25" s="482"/>
      <c r="L25" s="524"/>
      <c r="M25" s="545"/>
      <c r="N25" s="524"/>
      <c r="O25" s="546"/>
      <c r="P25" s="546"/>
    </row>
    <row r="26" spans="1:16" s="510" customFormat="1" ht="35" customHeight="1" x14ac:dyDescent="0.3">
      <c r="A26" s="524"/>
      <c r="B26" s="741"/>
      <c r="C26" s="757">
        <v>1</v>
      </c>
      <c r="D26" s="508" t="s">
        <v>20</v>
      </c>
      <c r="E26" s="742" t="str">
        <f>IF(VLOOKUP(CONCATENATE($C$2,"-",$D26),Languages!$A:$D,1,TRUE)=CONCATENATE($C$2,"-",$D26),VLOOKUP(CONCATENATE($C$2,"-",$D26),Languages!$A:$D,Kybermittari!$C$7,TRUE),NA())</f>
        <v>Kyberhäiriöiden tunnistamiselle on määritetty kriteeristö ("criteria for declaring incidents") - vaikka ei välttämättä systemaattisesti ja kaiken kattavasti.</v>
      </c>
      <c r="F26" s="742"/>
      <c r="G26" s="742"/>
      <c r="H26" s="493">
        <f>IFERROR(INT(LEFT($I26,1)),0)</f>
        <v>0</v>
      </c>
      <c r="I26" s="54"/>
      <c r="J26" s="526"/>
      <c r="K26" s="509"/>
      <c r="L26" s="524"/>
      <c r="M26" s="545"/>
      <c r="N26" s="524"/>
      <c r="O26" s="495"/>
      <c r="P26" s="495"/>
    </row>
    <row r="27" spans="1:16" s="510" customFormat="1" ht="35" customHeight="1" x14ac:dyDescent="0.3">
      <c r="A27" s="524"/>
      <c r="B27" s="741"/>
      <c r="C27" s="759"/>
      <c r="D27" s="508" t="s">
        <v>21</v>
      </c>
      <c r="E27" s="742" t="str">
        <f>IF(VLOOKUP(CONCATENATE($C$2,"-",$D27),Languages!$A:$D,1,TRUE)=CONCATENATE($C$2,"-",$D27),VLOOKUP(CONCATENATE($C$2,"-",$D27),Languages!$A:$D,Kybermittari!$C$7,TRUE),NA())</f>
        <v>Kybertapahtumat analysoidaan, jotta häiriöiden tunnistaminen voidaan tehdä - ainakin tapauskohtaisesti.</v>
      </c>
      <c r="F27" s="742"/>
      <c r="G27" s="742"/>
      <c r="H27" s="493">
        <f>IFERROR(INT(LEFT($I27,1)),0)</f>
        <v>0</v>
      </c>
      <c r="I27" s="54"/>
      <c r="J27" s="527"/>
      <c r="K27" s="509"/>
      <c r="L27" s="524"/>
      <c r="M27" s="545"/>
      <c r="N27" s="524"/>
      <c r="O27" s="495"/>
      <c r="P27" s="495"/>
    </row>
    <row r="28" spans="1:16" s="510" customFormat="1" ht="10" customHeight="1" x14ac:dyDescent="0.3">
      <c r="A28" s="524"/>
      <c r="B28" s="511"/>
      <c r="C28" s="565"/>
      <c r="D28" s="513"/>
      <c r="E28" s="501"/>
      <c r="F28" s="501"/>
      <c r="G28" s="501"/>
      <c r="H28" s="499"/>
      <c r="I28" s="502"/>
      <c r="J28" s="514"/>
      <c r="K28" s="509"/>
      <c r="L28" s="524"/>
      <c r="M28" s="545"/>
      <c r="N28" s="524"/>
      <c r="O28" s="495"/>
      <c r="P28" s="495"/>
    </row>
    <row r="29" spans="1:16" s="510" customFormat="1" ht="46" customHeight="1" x14ac:dyDescent="0.3">
      <c r="A29" s="524"/>
      <c r="B29" s="741"/>
      <c r="C29" s="757">
        <v>2</v>
      </c>
      <c r="D29" s="508" t="s">
        <v>22</v>
      </c>
      <c r="E29" s="742" t="str">
        <f>IF(VLOOKUP(CONCATENATE($C$2,"-",$D29),Languages!$A:$D,1,TRUE)=CONCATENATE($C$2,"-",$D29),VLOOKUP(CONCATENATE($C$2,"-",$D29),Languages!$A:$D,Kybermittari!$C$7,TRUE),NA())</f>
        <v>Kyberhäiriöiden tunnistamiseen käytetään virallisia kriteerejä, jotka perustuvat häiriön mahdolliseen vaikutukseen toiminnan osa-alueella [kts. RISK-1c].</v>
      </c>
      <c r="F29" s="742"/>
      <c r="G29" s="742"/>
      <c r="H29" s="493">
        <f>IFERROR(INT(LEFT($I29,1)),0)</f>
        <v>0</v>
      </c>
      <c r="I29" s="54"/>
      <c r="J29" s="527"/>
      <c r="K29" s="509"/>
      <c r="L29" s="524"/>
      <c r="M29" s="545"/>
      <c r="N29" s="524"/>
      <c r="O29" s="495"/>
      <c r="P29" s="495"/>
    </row>
    <row r="30" spans="1:16" s="510" customFormat="1" ht="35" customHeight="1" x14ac:dyDescent="0.3">
      <c r="A30" s="524"/>
      <c r="B30" s="741"/>
      <c r="C30" s="758"/>
      <c r="D30" s="508" t="s">
        <v>23</v>
      </c>
      <c r="E30" s="742" t="str">
        <f>IF(VLOOKUP(CONCATENATE($C$2,"-",$D30),Languages!$A:$D,1,TRUE)=CONCATENATE($C$2,"-",$D30),VLOOKUP(CONCATENATE($C$2,"-",$D30),Languages!$A:$D,Kybermittari!$C$7,TRUE),NA())</f>
        <v>Kyberhäiriöiden tunnistamisen kriteerit päivitetään organisaation määrittämin aikavälein.</v>
      </c>
      <c r="F30" s="742"/>
      <c r="G30" s="742"/>
      <c r="H30" s="493">
        <f>IFERROR(INT(LEFT($I30,1)),0)</f>
        <v>0</v>
      </c>
      <c r="I30" s="54"/>
      <c r="J30" s="527"/>
      <c r="K30" s="509"/>
      <c r="L30" s="524"/>
      <c r="M30" s="545"/>
      <c r="N30" s="524"/>
      <c r="O30" s="495"/>
      <c r="P30" s="495"/>
    </row>
    <row r="31" spans="1:16" s="510" customFormat="1" ht="35" customHeight="1" x14ac:dyDescent="0.3">
      <c r="A31" s="524"/>
      <c r="B31" s="741"/>
      <c r="C31" s="758"/>
      <c r="D31" s="508" t="s">
        <v>24</v>
      </c>
      <c r="E31" s="742" t="str">
        <f>IF(VLOOKUP(CONCATENATE($C$2,"-",$D31),Languages!$A:$D,1,TRUE)=CONCATENATE($C$2,"-",$D31),VLOOKUP(CONCATENATE($C$2,"-",$D31),Languages!$A:$D,Kybermittari!$C$7,TRUE),NA())</f>
        <v>Tapahtumien eskalointi perustuu määritettyihin kriteereihin.</v>
      </c>
      <c r="F31" s="742"/>
      <c r="G31" s="742"/>
      <c r="H31" s="493">
        <f>IFERROR(INT(LEFT($I31,1)),0)</f>
        <v>0</v>
      </c>
      <c r="I31" s="54"/>
      <c r="J31" s="527"/>
      <c r="K31" s="509"/>
      <c r="L31" s="618"/>
      <c r="M31" s="545"/>
      <c r="N31" s="618"/>
      <c r="O31" s="495"/>
      <c r="P31" s="495"/>
    </row>
    <row r="32" spans="1:16" s="510" customFormat="1" ht="47" customHeight="1" x14ac:dyDescent="0.3">
      <c r="A32" s="524"/>
      <c r="B32" s="741"/>
      <c r="C32" s="758"/>
      <c r="D32" s="508" t="s">
        <v>112</v>
      </c>
      <c r="E32" s="742" t="str">
        <f>IF(VLOOKUP(CONCATENATE($C$2,"-",$D32),Languages!$A:$D,1,TRUE)=CONCATENATE($C$2,"-",$D32),VLOOKUP(CONCATENATE($C$2,"-",$D32),Languages!$A:$D,Kybermittari!$C$7,TRUE),NA())</f>
        <v>Eskaloidut kybertapahtumat ja kyberhäiriöt kirjataan rekisteriin ("logged") ja niiden tilannetta seurataan rekisterissä kunnes ne voidaan merkitä suljetuiksi ("tracked until closure").</v>
      </c>
      <c r="F32" s="742"/>
      <c r="G32" s="742"/>
      <c r="H32" s="493">
        <f>IFERROR(INT(LEFT($I32,1)),0)</f>
        <v>0</v>
      </c>
      <c r="I32" s="54"/>
      <c r="J32" s="527"/>
      <c r="K32" s="509"/>
      <c r="L32" s="524"/>
      <c r="M32" s="545"/>
      <c r="N32" s="524"/>
      <c r="O32" s="495"/>
      <c r="P32" s="495"/>
    </row>
    <row r="33" spans="1:16" s="510" customFormat="1" ht="75" customHeight="1" x14ac:dyDescent="0.3">
      <c r="A33" s="524"/>
      <c r="B33" s="741"/>
      <c r="C33" s="759"/>
      <c r="D33" s="508" t="s">
        <v>176</v>
      </c>
      <c r="E33" s="742" t="str">
        <f>IF(VLOOKUP(CONCATENATE($C$2,"-",$D33),Languages!$A:$D,1,TRUE)=CONCATENATE($C$2,"-",$D33),VLOOKUP(CONCATENATE($C$2,"-",$D33),Languages!$A:$D,Kybermittari!$C$7,TRUE),NA())</f>
        <v>Kyberturvallisuuden sidosryhmät (esim. valtio, liitännäiset organisaatiot, toimittajat, toimialan muut organisaatiot, sääntelyviranomaiset tai organisaation sisäiset tahot) on tunnistettu ja heille ilmoitetaan kybertapahtumista ja -häiriöistä organisaation määrittelemien kriteereiden perusteella [kts. SITUATION-3d].</v>
      </c>
      <c r="F33" s="742"/>
      <c r="G33" s="742"/>
      <c r="H33" s="493">
        <f>IFERROR(INT(LEFT($I33,1)),0)</f>
        <v>0</v>
      </c>
      <c r="I33" s="54"/>
      <c r="J33" s="527"/>
      <c r="K33" s="509"/>
      <c r="L33" s="483"/>
      <c r="M33" s="545"/>
      <c r="N33" s="523"/>
      <c r="O33" s="495"/>
      <c r="P33" s="495"/>
    </row>
    <row r="34" spans="1:16" s="510" customFormat="1" ht="10" customHeight="1" x14ac:dyDescent="0.3">
      <c r="A34" s="524"/>
      <c r="B34" s="741"/>
      <c r="C34" s="565"/>
      <c r="D34" s="513"/>
      <c r="E34" s="501"/>
      <c r="F34" s="501"/>
      <c r="G34" s="501"/>
      <c r="H34" s="499"/>
      <c r="I34" s="502"/>
      <c r="J34" s="514"/>
      <c r="K34" s="509"/>
      <c r="L34" s="483"/>
      <c r="M34" s="545"/>
      <c r="N34" s="523"/>
      <c r="O34" s="495"/>
      <c r="P34" s="495"/>
    </row>
    <row r="35" spans="1:16" s="510" customFormat="1" ht="35" customHeight="1" x14ac:dyDescent="0.3">
      <c r="A35" s="524"/>
      <c r="B35" s="741"/>
      <c r="C35" s="757">
        <v>3</v>
      </c>
      <c r="D35" s="508" t="s">
        <v>178</v>
      </c>
      <c r="E35" s="742" t="str">
        <f>IF(VLOOKUP(CONCATENATE($C$2,"-",$D35),Languages!$A:$D,1,TRUE)=CONCATENATE($C$2,"-",$D35),VLOOKUP(CONCATENATE($C$2,"-",$D35),Languages!$A:$D,Kybermittari!$C$7,TRUE),NA())</f>
        <v>Kyberhäiriöiden ilmoituskriteerit noudattelevat organisaation yleisiä riskikriteereitä [kts. RISK-2b].</v>
      </c>
      <c r="F35" s="742"/>
      <c r="G35" s="742"/>
      <c r="H35" s="493">
        <f>IFERROR(INT(LEFT($I35,1)),0)</f>
        <v>0</v>
      </c>
      <c r="I35" s="54"/>
      <c r="J35" s="527"/>
      <c r="K35" s="509"/>
      <c r="L35" s="483"/>
      <c r="M35" s="545"/>
      <c r="N35" s="523"/>
      <c r="O35" s="495"/>
      <c r="P35" s="495"/>
    </row>
    <row r="36" spans="1:16" s="510" customFormat="1" ht="35" customHeight="1" x14ac:dyDescent="0.3">
      <c r="A36" s="524"/>
      <c r="B36" s="741"/>
      <c r="C36" s="759"/>
      <c r="D36" s="508" t="s">
        <v>209</v>
      </c>
      <c r="E36" s="742" t="str">
        <f>IF(VLOOKUP(CONCATENATE($C$2,"-",$D36),Languages!$A:$D,1,TRUE)=CONCATENATE($C$2,"-",$D36),VLOOKUP(CONCATENATE($C$2,"-",$D36),Languages!$A:$D,Kybermittari!$C$7,TRUE),NA())</f>
        <v>Kyberhäiriöitä verrataan toisiinsa säännönmukaisuuksien ("patterns"), suuntausten ("trends") ja muiden yhteisten piirteiden tunnistamiseksi.</v>
      </c>
      <c r="F36" s="742"/>
      <c r="G36" s="742"/>
      <c r="H36" s="493">
        <f>IFERROR(INT(LEFT($I36,1)),0)</f>
        <v>0</v>
      </c>
      <c r="I36" s="54"/>
      <c r="J36" s="527"/>
      <c r="K36" s="509"/>
      <c r="L36" s="483"/>
      <c r="M36" s="545"/>
      <c r="N36" s="523"/>
      <c r="O36" s="495"/>
      <c r="P36" s="495"/>
    </row>
    <row r="37" spans="1:16" s="343" customFormat="1" ht="30" customHeight="1" x14ac:dyDescent="0.25">
      <c r="A37" s="332"/>
      <c r="B37" s="461"/>
      <c r="C37" s="336">
        <v>3</v>
      </c>
      <c r="D37" s="336" t="str">
        <f>IF(VLOOKUP(CONCATENATE($C$2,"-",C37),Languages!$A:$D,1,TRUE)=CONCATENATE($C$2,"-",C37),VLOOKUP(CONCATENATE($C$2,"-",C37),Languages!$A:$D,Kybermittari!$C$7,TRUE),NA())</f>
        <v>Kybertapahtumiin ja -häiriötilanteisiin reagointi</v>
      </c>
      <c r="E37" s="336"/>
      <c r="F37" s="506"/>
      <c r="G37" s="506"/>
      <c r="H37" s="506"/>
      <c r="I37" s="506" t="s">
        <v>19</v>
      </c>
      <c r="J37" s="507"/>
      <c r="K37" s="339"/>
      <c r="L37" s="332"/>
      <c r="M37" s="533"/>
      <c r="N37" s="636"/>
      <c r="O37" s="341"/>
      <c r="P37" s="341"/>
    </row>
    <row r="38" spans="1:16" s="510" customFormat="1" ht="59.5" customHeight="1" x14ac:dyDescent="0.3">
      <c r="A38" s="524"/>
      <c r="B38" s="511"/>
      <c r="C38" s="745" t="str">
        <f>IF(VLOOKUP(CONCATENATE($C$2,"-",$C37,"-0"),Languages!$A:$D,1,TRUE)=CONCATENATE($C$2,"-",$C37,"-0"),VLOOKUP(CONCATENATE($C$2,"-",$C37,"-0"),Languages!$A:$D,Kybermittari!$C$7,TRUE),NA())</f>
        <v>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v>
      </c>
      <c r="D38" s="745"/>
      <c r="E38" s="745"/>
      <c r="F38" s="745"/>
      <c r="G38" s="745"/>
      <c r="H38" s="745"/>
      <c r="I38" s="745"/>
      <c r="J38" s="745"/>
      <c r="K38" s="509"/>
      <c r="L38" s="524"/>
      <c r="M38" s="545"/>
      <c r="N38" s="524"/>
      <c r="O38" s="495"/>
      <c r="P38" s="495"/>
    </row>
    <row r="39" spans="1:16" s="547" customFormat="1" ht="20" customHeight="1" x14ac:dyDescent="0.3">
      <c r="A39" s="483"/>
      <c r="B39" s="476"/>
      <c r="C39" s="477" t="str">
        <f>IF(VLOOKUP("GEN-LEVEL",Languages!$A:$D,1,TRUE)="GEN-LEVEL",VLOOKUP("GEN-LEVEL",Languages!$A:$D,Kybermittari!$C$7,TRUE),NA())</f>
        <v>Taso</v>
      </c>
      <c r="D39" s="477"/>
      <c r="E39" s="478" t="str">
        <f>IF(VLOOKUP("GEN-PRACTICE",Languages!$A:$D,1,TRUE)="GEN-PRACTICE",VLOOKUP("GEN-PRACTICE",Languages!$A:$D,Kybermittari!$C$7,TRUE),NA())</f>
        <v>Käytäntö</v>
      </c>
      <c r="F39" s="479"/>
      <c r="G39" s="480"/>
      <c r="H39" s="481"/>
      <c r="I39" s="478" t="str">
        <f>IF(VLOOKUP("GEN-ANSWER",Languages!$A:$D,1,TRUE)="GEN-ANSWER",VLOOKUP("GEN-ANSWER",Languages!$A:$D,Kybermittari!$C$7,TRUE),NA())</f>
        <v>Vastaus</v>
      </c>
      <c r="J39" s="480" t="str">
        <f>IF(VLOOKUP("GEN-COMMENT",Languages!$A:$D,1,TRUE)="GEN-COMMENT",VLOOKUP("GEN-COMMENT",Languages!$A:$D,Kybermittari!$C$7,TRUE),NA())</f>
        <v>Kommentti ja viittaukset</v>
      </c>
      <c r="K39" s="482"/>
      <c r="L39" s="524"/>
      <c r="M39" s="545"/>
      <c r="N39" s="524"/>
      <c r="O39" s="546"/>
      <c r="P39" s="546"/>
    </row>
    <row r="40" spans="1:16" s="547" customFormat="1" ht="10" customHeight="1" x14ac:dyDescent="0.3">
      <c r="A40" s="483"/>
      <c r="B40" s="476"/>
      <c r="C40" s="487"/>
      <c r="D40" s="487"/>
      <c r="E40" s="488"/>
      <c r="F40" s="489"/>
      <c r="G40" s="490"/>
      <c r="H40" s="491"/>
      <c r="I40" s="488"/>
      <c r="J40" s="490"/>
      <c r="K40" s="482"/>
      <c r="L40" s="524"/>
      <c r="M40" s="545"/>
      <c r="N40" s="524"/>
      <c r="O40" s="546"/>
      <c r="P40" s="546"/>
    </row>
    <row r="41" spans="1:16" s="510" customFormat="1" ht="35" customHeight="1" x14ac:dyDescent="0.3">
      <c r="A41" s="524"/>
      <c r="B41" s="511"/>
      <c r="C41" s="760">
        <v>1</v>
      </c>
      <c r="D41" s="508" t="s">
        <v>25</v>
      </c>
      <c r="E41" s="742" t="str">
        <f>IF(VLOOKUP(CONCATENATE($C$2,"-",$D41),Languages!$A:$D,1,TRUE)=CONCATENATE($C$2,"-",$D41),VLOOKUP(CONCATENATE($C$2,"-",$D41),Languages!$A:$D,Kybermittari!$C$7,TRUE),NA())</f>
        <v>Kybertapahtumiin ja -häiriöihin reagointiin ("incident response") on nimetty roolit ja henkilöt - vaikka ei välttämättä systemaattisesti ja kaiken kattavasti.</v>
      </c>
      <c r="F41" s="742"/>
      <c r="G41" s="742"/>
      <c r="H41" s="493">
        <f>IFERROR(INT(LEFT($I41,1)),0)</f>
        <v>0</v>
      </c>
      <c r="I41" s="54"/>
      <c r="J41" s="527"/>
      <c r="K41" s="509"/>
      <c r="L41" s="524"/>
      <c r="M41" s="545"/>
      <c r="N41" s="524"/>
      <c r="O41" s="495"/>
      <c r="P41" s="495"/>
    </row>
    <row r="42" spans="1:16" s="510" customFormat="1" ht="47" customHeight="1" x14ac:dyDescent="0.3">
      <c r="A42" s="524"/>
      <c r="B42" s="511"/>
      <c r="C42" s="760"/>
      <c r="D42" s="508" t="s">
        <v>26</v>
      </c>
      <c r="E42" s="742" t="str">
        <f>IF(VLOOKUP(CONCATENATE($C$2,"-",$D42),Languages!$A:$D,1,TRUE)=CONCATENATE($C$2,"-",$D42),VLOOKUP(CONCATENATE($C$2,"-",$D42),Languages!$A:$D,Kybermittari!$C$7,TRUE),NA())</f>
        <v>Kybertapahtumiin- ja häiriöihin reagoidaan ("execute incident response") - ainakin tapauskohtaisesti - tavoitteena rajoittaa häiriön vaikutusta toiminnan osa-alueeseen ja toiminnan palauttamiseksi normaaliin.</v>
      </c>
      <c r="F42" s="742"/>
      <c r="G42" s="742"/>
      <c r="H42" s="493">
        <f>IFERROR(INT(LEFT($I42,1)),0)</f>
        <v>0</v>
      </c>
      <c r="I42" s="54"/>
      <c r="J42" s="527"/>
      <c r="K42" s="509"/>
      <c r="L42" s="524"/>
      <c r="M42" s="545"/>
      <c r="N42" s="524"/>
      <c r="O42" s="495"/>
      <c r="P42" s="495"/>
    </row>
    <row r="43" spans="1:16" s="510" customFormat="1" ht="35" customHeight="1" x14ac:dyDescent="0.3">
      <c r="A43" s="524"/>
      <c r="B43" s="511"/>
      <c r="C43" s="760"/>
      <c r="D43" s="508" t="s">
        <v>27</v>
      </c>
      <c r="E43" s="742" t="str">
        <f>IF(VLOOKUP(CONCATENATE($C$2,"-",$D43),Languages!$A:$D,1,TRUE)=CONCATENATE($C$2,"-",$D43),VLOOKUP(CONCATENATE($C$2,"-",$D43),Languages!$A:$D,Kybermittari!$C$7,TRUE),NA())</f>
        <v>Kybertapahtumat ja -häiriöt raportoidaan kyberturvallisuuden sidosryhmille - ainakin tapauskohtaisesti</v>
      </c>
      <c r="F43" s="742"/>
      <c r="G43" s="742"/>
      <c r="H43" s="493">
        <f>IFERROR(INT(LEFT($I43,1)),0)</f>
        <v>0</v>
      </c>
      <c r="I43" s="54"/>
      <c r="J43" s="527"/>
      <c r="K43" s="509"/>
      <c r="L43" s="524"/>
      <c r="M43" s="545"/>
      <c r="N43" s="524"/>
      <c r="O43" s="495"/>
      <c r="P43" s="495"/>
    </row>
    <row r="44" spans="1:16" s="510" customFormat="1" ht="10" customHeight="1" x14ac:dyDescent="0.3">
      <c r="A44" s="524"/>
      <c r="B44" s="511"/>
      <c r="C44" s="565"/>
      <c r="D44" s="513"/>
      <c r="E44" s="501"/>
      <c r="F44" s="501"/>
      <c r="G44" s="501"/>
      <c r="H44" s="499"/>
      <c r="I44" s="502"/>
      <c r="J44" s="514"/>
      <c r="K44" s="509"/>
      <c r="L44" s="524"/>
      <c r="M44" s="545"/>
      <c r="N44" s="524"/>
      <c r="O44" s="495"/>
      <c r="P44" s="495"/>
    </row>
    <row r="45" spans="1:16" s="510" customFormat="1" ht="47.5" customHeight="1" x14ac:dyDescent="0.3">
      <c r="A45" s="524"/>
      <c r="B45" s="511"/>
      <c r="C45" s="760">
        <v>2</v>
      </c>
      <c r="D45" s="508" t="s">
        <v>28</v>
      </c>
      <c r="E45" s="742" t="str">
        <f>IF(VLOOKUP(CONCATENATE($C$2,"-",$D45),Languages!$A:$D,1,TRUE)=CONCATENATE($C$2,"-",$D45),VLOOKUP(CONCATENATE($C$2,"-",$D45),Languages!$A:$D,Kybermittari!$C$7,TRUE),NA())</f>
        <v>Kyberhäiriöiden varalle on määritetty ja pidetään yllä reagointisuunnitelmia ("incident response plans"), jotka kattavat häiriöiden hallinnan kaikki vaiheet (kuten triage, eskalointi, käsittely, kommunikointi, koordinointi ja sulkeminen).</v>
      </c>
      <c r="F45" s="742"/>
      <c r="G45" s="742"/>
      <c r="H45" s="493">
        <f>IFERROR(INT(LEFT($I45,1)),0)</f>
        <v>0</v>
      </c>
      <c r="I45" s="54"/>
      <c r="J45" s="527"/>
      <c r="K45" s="509"/>
      <c r="L45" s="524"/>
      <c r="M45" s="545"/>
      <c r="N45" s="524"/>
      <c r="O45" s="495"/>
      <c r="P45" s="495"/>
    </row>
    <row r="46" spans="1:16" s="510" customFormat="1" ht="35" customHeight="1" x14ac:dyDescent="0.3">
      <c r="A46" s="524"/>
      <c r="B46" s="511"/>
      <c r="C46" s="760"/>
      <c r="D46" s="508" t="s">
        <v>29</v>
      </c>
      <c r="E46" s="742" t="str">
        <f>IF(VLOOKUP(CONCATENATE($C$2,"-",$D46),Languages!$A:$D,1,TRUE)=CONCATENATE($C$2,"-",$D46),VLOOKUP(CONCATENATE($C$2,"-",$D46),Languages!$A:$D,Kybermittari!$C$7,TRUE),NA())</f>
        <v>Kybertapahtumiin ja -häiriöihin reagoidaan ennalta määritettyjen suunnitelmien ja prosessien mukaisesti.</v>
      </c>
      <c r="F46" s="742"/>
      <c r="G46" s="742"/>
      <c r="H46" s="493">
        <f>IFERROR(INT(LEFT($I46,1)),0)</f>
        <v>0</v>
      </c>
      <c r="I46" s="54"/>
      <c r="J46" s="527"/>
      <c r="K46" s="509"/>
      <c r="L46" s="618"/>
      <c r="M46" s="545"/>
      <c r="N46" s="618"/>
      <c r="O46" s="495"/>
      <c r="P46" s="495"/>
    </row>
    <row r="47" spans="1:16" s="510" customFormat="1" ht="35" customHeight="1" x14ac:dyDescent="0.3">
      <c r="A47" s="524"/>
      <c r="B47" s="511"/>
      <c r="C47" s="760"/>
      <c r="D47" s="508" t="s">
        <v>30</v>
      </c>
      <c r="E47" s="742" t="str">
        <f>IF(VLOOKUP(CONCATENATE($C$2,"-",$D47),Languages!$A:$D,1,TRUE)=CONCATENATE($C$2,"-",$D47),VLOOKUP(CONCATENATE($C$2,"-",$D47),Languages!$A:$D,Kybermittari!$C$7,TRUE),NA())</f>
        <v>Kybertapahtumiin ja -häiriöihin reagoimista (ennalta märiteltyjen suunnitelmien mukaisesti) harjoitellaan organisaation määrittämin aikavälein.</v>
      </c>
      <c r="F47" s="742"/>
      <c r="G47" s="742"/>
      <c r="H47" s="493">
        <f>IFERROR(INT(LEFT($I47,1)),0)</f>
        <v>0</v>
      </c>
      <c r="I47" s="54"/>
      <c r="J47" s="527"/>
      <c r="K47" s="509"/>
      <c r="L47" s="524"/>
      <c r="M47" s="545"/>
      <c r="N47" s="524"/>
      <c r="O47" s="495"/>
      <c r="P47" s="495"/>
    </row>
    <row r="48" spans="1:16" s="510" customFormat="1" ht="10" customHeight="1" x14ac:dyDescent="0.3">
      <c r="A48" s="524"/>
      <c r="B48" s="511"/>
      <c r="C48" s="565"/>
      <c r="D48" s="513"/>
      <c r="E48" s="501"/>
      <c r="F48" s="501"/>
      <c r="G48" s="501"/>
      <c r="H48" s="499"/>
      <c r="I48" s="502"/>
      <c r="J48" s="514"/>
      <c r="K48" s="509"/>
      <c r="L48" s="524"/>
      <c r="M48" s="545"/>
      <c r="N48" s="524"/>
      <c r="O48" s="495"/>
      <c r="P48" s="495"/>
    </row>
    <row r="49" spans="1:16" s="510" customFormat="1" ht="47.5" customHeight="1" x14ac:dyDescent="0.3">
      <c r="A49" s="524"/>
      <c r="B49" s="511"/>
      <c r="C49" s="760">
        <v>3</v>
      </c>
      <c r="D49" s="508" t="s">
        <v>31</v>
      </c>
      <c r="E49" s="742" t="str">
        <f>IF(VLOOKUP(CONCATENATE($C$2,"-",$D49),Languages!$A:$D,1,TRUE)=CONCATENATE($C$2,"-",$D49),VLOOKUP(CONCATENATE($C$2,"-",$D49),Languages!$A:$D,Kybermittari!$C$7,TRUE),NA())</f>
        <v>Kybertapahtumien ja -häiriöiden juurisyyt analysoidaan ("root-cause analysis"), niistä otetaan opiksi ("lessons-learned") ja näiden pohjalta toteutetaan korjaavia toimenpiteitä (mkl. reagointisuunnitelmien päivitys).</v>
      </c>
      <c r="F49" s="742"/>
      <c r="G49" s="742"/>
      <c r="H49" s="493">
        <f>IFERROR(INT(LEFT($I49,1)),0)</f>
        <v>0</v>
      </c>
      <c r="I49" s="54"/>
      <c r="J49" s="527"/>
      <c r="K49" s="509"/>
      <c r="L49" s="483"/>
      <c r="M49" s="545"/>
      <c r="N49" s="523"/>
      <c r="O49" s="495"/>
      <c r="P49" s="495"/>
    </row>
    <row r="50" spans="1:16" s="510" customFormat="1" ht="47" customHeight="1" x14ac:dyDescent="0.3">
      <c r="A50" s="524"/>
      <c r="B50" s="511"/>
      <c r="C50" s="760"/>
      <c r="D50" s="508" t="s">
        <v>247</v>
      </c>
      <c r="E50" s="742" t="str">
        <f>IF(VLOOKUP(CONCATENATE($C$2,"-",$D50),Languages!$A:$D,1,TRUE)=CONCATENATE($C$2,"-",$D50),VLOOKUP(CONCATENATE($C$2,"-",$D50),Languages!$A:$D,Kybermittari!$C$7,TRUE),NA())</f>
        <v>Kybertapahtumiin ja -häiriöihin reagointi koordinoidaan tarvittaessa poliisin tai muiden viranomaisten kanssa, mukaan lukien todisteiden kerääminen ja säilyttäminen.</v>
      </c>
      <c r="F50" s="742"/>
      <c r="G50" s="742"/>
      <c r="H50" s="493">
        <f>IFERROR(INT(LEFT($I50,1)),0)</f>
        <v>0</v>
      </c>
      <c r="I50" s="54"/>
      <c r="J50" s="527"/>
      <c r="K50" s="509"/>
      <c r="L50" s="483"/>
      <c r="M50" s="545"/>
      <c r="N50" s="523"/>
      <c r="O50" s="495"/>
      <c r="P50" s="495"/>
    </row>
    <row r="51" spans="1:16" s="510" customFormat="1" ht="47" customHeight="1" x14ac:dyDescent="0.3">
      <c r="A51" s="524"/>
      <c r="B51" s="511"/>
      <c r="C51" s="760"/>
      <c r="D51" s="508" t="s">
        <v>280</v>
      </c>
      <c r="E51" s="742" t="str">
        <f>IF(VLOOKUP(CONCATENATE($C$2,"-",$D51),Languages!$A:$D,1,TRUE)=CONCATENATE($C$2,"-",$D51),VLOOKUP(CONCATENATE($C$2,"-",$D51),Languages!$A:$D,Kybermittari!$C$7,TRUE),NA())</f>
        <v>Kybertapahtumien ja -häiriöiden käsittelyyn ja reagointiin osallistuvat työntekijät ottavat osaa yhteisiin harjoituksiin muiden organisaatioiden kanssa (esim. työpöytäharjoitukset, simulaatiot).</v>
      </c>
      <c r="F51" s="742"/>
      <c r="G51" s="742"/>
      <c r="H51" s="493">
        <f>IFERROR(INT(LEFT($I51,1)),0)</f>
        <v>0</v>
      </c>
      <c r="I51" s="54"/>
      <c r="J51" s="527"/>
      <c r="K51" s="509"/>
      <c r="L51" s="483"/>
      <c r="M51" s="545"/>
      <c r="N51" s="523"/>
      <c r="O51" s="495"/>
      <c r="P51" s="495"/>
    </row>
    <row r="52" spans="1:16" s="510" customFormat="1" ht="35" customHeight="1" x14ac:dyDescent="0.3">
      <c r="A52" s="524"/>
      <c r="B52" s="511"/>
      <c r="C52" s="760"/>
      <c r="D52" s="508" t="s">
        <v>282</v>
      </c>
      <c r="E52" s="742" t="str">
        <f>IF(VLOOKUP(CONCATENATE($C$2,"-",$D52),Languages!$A:$D,1,TRUE)=CONCATENATE($C$2,"-",$D52),VLOOKUP(CONCATENATE($C$2,"-",$D52),Languages!$A:$D,Kybermittari!$C$7,TRUE),NA())</f>
        <v>Kybertapahtumiin ja -häiriöihin reagoinnissa noudatetaan organisaation ennalta määritettyjä toimintatapoja [kts. SITUATION-3h].</v>
      </c>
      <c r="F52" s="742"/>
      <c r="G52" s="742"/>
      <c r="H52" s="493">
        <f>IFERROR(INT(LEFT($I52,1)),0)</f>
        <v>0</v>
      </c>
      <c r="I52" s="54"/>
      <c r="J52" s="527"/>
      <c r="K52" s="509"/>
      <c r="L52" s="483"/>
      <c r="M52" s="545"/>
      <c r="N52" s="523"/>
      <c r="O52" s="495"/>
      <c r="P52" s="495"/>
    </row>
    <row r="53" spans="1:16" s="343" customFormat="1" ht="30" customHeight="1" x14ac:dyDescent="0.25">
      <c r="A53" s="332"/>
      <c r="B53" s="461"/>
      <c r="C53" s="336">
        <v>4</v>
      </c>
      <c r="D53" s="336" t="str">
        <f>IF(VLOOKUP(CONCATENATE($C$2,"-",C53),Languages!$A:$D,1,TRUE)=CONCATENATE($C$2,"-",C53),VLOOKUP(CONCATENATE($C$2,"-",C53),Languages!$A:$D,Kybermittari!$C$7,TRUE),NA())</f>
        <v>Yleisiä hallintatoimia</v>
      </c>
      <c r="E53" s="336"/>
      <c r="F53" s="506"/>
      <c r="G53" s="506"/>
      <c r="H53" s="506"/>
      <c r="I53" s="506" t="s">
        <v>19</v>
      </c>
      <c r="J53" s="507"/>
      <c r="K53" s="339"/>
      <c r="L53" s="347"/>
      <c r="M53" s="533"/>
      <c r="N53" s="347"/>
      <c r="O53" s="341"/>
      <c r="P53" s="341"/>
    </row>
    <row r="54" spans="1:16" s="475" customFormat="1" ht="47.5" customHeight="1" x14ac:dyDescent="0.3">
      <c r="A54" s="524"/>
      <c r="B54" s="525"/>
      <c r="C54" s="745" t="str">
        <f>IF(VLOOKUP(CONCATENATE($C$2,"-",$C53,"-0"),Languages!$A:$D,1,TRUE)=CONCATENATE($C$2,"-",$C53,"-0"),VLOOKUP(CONCATENATE($C$2,"-",$C53,"-0"),Languages!$A:$D,Kybermittari!$C$7,TRUE),NA())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54" s="745"/>
      <c r="E54" s="745"/>
      <c r="F54" s="745"/>
      <c r="G54" s="745"/>
      <c r="H54" s="745"/>
      <c r="I54" s="745"/>
      <c r="J54" s="745"/>
      <c r="K54" s="471"/>
      <c r="L54" s="524"/>
      <c r="M54" s="545"/>
      <c r="N54" s="524"/>
      <c r="O54" s="473"/>
      <c r="P54" s="473"/>
    </row>
    <row r="55" spans="1:16" s="547" customFormat="1" ht="20" customHeight="1" x14ac:dyDescent="0.3">
      <c r="A55" s="483"/>
      <c r="B55" s="476"/>
      <c r="C55" s="477" t="str">
        <f>IF(VLOOKUP("GEN-LEVEL",Languages!$A:$D,1,TRUE)="GEN-LEVEL",VLOOKUP("GEN-LEVEL",Languages!$A:$D,Kybermittari!$C$7,TRUE),NA())</f>
        <v>Taso</v>
      </c>
      <c r="D55" s="477"/>
      <c r="E55" s="478" t="str">
        <f>IF(VLOOKUP("GEN-PRACTICE",Languages!$A:$D,1,TRUE)="GEN-PRACTICE",VLOOKUP("GEN-PRACTICE",Languages!$A:$D,Kybermittari!$C$7,TRUE),NA())</f>
        <v>Käytäntö</v>
      </c>
      <c r="F55" s="479"/>
      <c r="G55" s="480"/>
      <c r="H55" s="481"/>
      <c r="I55" s="478" t="str">
        <f>IF(VLOOKUP("GEN-ANSWER",Languages!$A:$D,1,TRUE)="GEN-ANSWER",VLOOKUP("GEN-ANSWER",Languages!$A:$D,Kybermittari!$C$7,TRUE),NA())</f>
        <v>Vastaus</v>
      </c>
      <c r="J55" s="480" t="str">
        <f>IF(VLOOKUP("GEN-COMMENT",Languages!$A:$D,1,TRUE)="GEN-COMMENT",VLOOKUP("GEN-COMMENT",Languages!$A:$D,Kybermittari!$C$7,TRUE),NA())</f>
        <v>Kommentti ja viittaukset</v>
      </c>
      <c r="K55" s="482"/>
      <c r="L55" s="524"/>
      <c r="M55" s="545"/>
      <c r="N55" s="524"/>
      <c r="O55" s="546"/>
      <c r="P55" s="546"/>
    </row>
    <row r="56" spans="1:16" s="547" customFormat="1" ht="10" customHeight="1" x14ac:dyDescent="0.3">
      <c r="A56" s="483"/>
      <c r="B56" s="476"/>
      <c r="C56" s="487"/>
      <c r="D56" s="487"/>
      <c r="E56" s="488"/>
      <c r="F56" s="489"/>
      <c r="G56" s="490"/>
      <c r="H56" s="491"/>
      <c r="I56" s="488"/>
      <c r="J56" s="490"/>
      <c r="K56" s="482"/>
      <c r="L56" s="524"/>
      <c r="M56" s="545"/>
      <c r="N56" s="524"/>
      <c r="O56" s="546"/>
      <c r="P56" s="546"/>
    </row>
    <row r="57" spans="1:16" s="547" customFormat="1" ht="20" customHeight="1" x14ac:dyDescent="0.3">
      <c r="A57" s="483"/>
      <c r="B57" s="476"/>
      <c r="C57" s="557">
        <v>1</v>
      </c>
      <c r="D57" s="558"/>
      <c r="E57" s="559"/>
      <c r="F57" s="560"/>
      <c r="G57" s="561"/>
      <c r="H57" s="562"/>
      <c r="I57" s="559"/>
      <c r="J57" s="563"/>
      <c r="K57" s="482"/>
      <c r="L57" s="524"/>
      <c r="M57" s="545"/>
      <c r="N57" s="524"/>
      <c r="O57" s="546"/>
      <c r="P57" s="546"/>
    </row>
    <row r="58" spans="1:16" s="547" customFormat="1" ht="10" customHeight="1" x14ac:dyDescent="0.3">
      <c r="A58" s="483"/>
      <c r="B58" s="476"/>
      <c r="C58" s="487"/>
      <c r="D58" s="487"/>
      <c r="E58" s="488"/>
      <c r="F58" s="489"/>
      <c r="G58" s="490"/>
      <c r="H58" s="491"/>
      <c r="I58" s="488"/>
      <c r="J58" s="490"/>
      <c r="K58" s="482"/>
      <c r="L58" s="524"/>
      <c r="M58" s="545"/>
      <c r="N58" s="524"/>
      <c r="O58" s="546"/>
      <c r="P58" s="546"/>
    </row>
    <row r="59" spans="1:16" s="510" customFormat="1" ht="35" customHeight="1" x14ac:dyDescent="0.3">
      <c r="A59" s="524"/>
      <c r="B59" s="741"/>
      <c r="C59" s="757">
        <v>2</v>
      </c>
      <c r="D59" s="508" t="s">
        <v>126</v>
      </c>
      <c r="E59" s="742" t="str">
        <f>IF(VLOOKUP(CONCATENATE($C$2,"-",$D59),Languages!$A:$D,1,TRUE)=CONCATENATE($C$2,"-",$D59),VLOOKUP(CONCATENATE($C$2,"-",$D59),Languages!$A:$D,Kybermittari!$C$7,TRUE),NA())</f>
        <v>Kybertapahtumien havainnoinnin (RESPONSE) osioon liittyen on määritetty dokumentoidut käytännöt, joita noudatetaan ja pidetään yllä.</v>
      </c>
      <c r="F59" s="742"/>
      <c r="G59" s="742"/>
      <c r="H59" s="493">
        <f>IFERROR(INT(LEFT($I59,1)),0)</f>
        <v>0</v>
      </c>
      <c r="I59" s="54"/>
      <c r="J59" s="527"/>
      <c r="K59" s="509"/>
      <c r="L59" s="524"/>
      <c r="M59" s="545"/>
      <c r="N59" s="524"/>
      <c r="O59" s="495"/>
      <c r="P59" s="495"/>
    </row>
    <row r="60" spans="1:16" s="510" customFormat="1" ht="35" customHeight="1" x14ac:dyDescent="0.3">
      <c r="A60" s="524"/>
      <c r="B60" s="741"/>
      <c r="C60" s="758"/>
      <c r="D60" s="508" t="s">
        <v>129</v>
      </c>
      <c r="E60" s="742" t="str">
        <f>IF(VLOOKUP(CONCATENATE($C$2,"-",$D60),Languages!$A:$D,1,TRUE)=CONCATENATE($C$2,"-",$D60),VLOOKUP(CONCATENATE($C$2,"-",$D60),Languages!$A:$D,Kybermittari!$C$7,TRUE),NA())</f>
        <v>Kybertapahtumien havainnoinnin (RESPONSE) osion toimintaan on saatavilla riittävät resurssit (henkilöstö, rahoitus ja työkalut).</v>
      </c>
      <c r="F60" s="742"/>
      <c r="G60" s="742"/>
      <c r="H60" s="493">
        <f>IFERROR(INT(LEFT($I60,1)),0)</f>
        <v>0</v>
      </c>
      <c r="I60" s="54"/>
      <c r="J60" s="527"/>
      <c r="K60" s="509"/>
      <c r="L60" s="524"/>
      <c r="M60" s="545"/>
      <c r="N60" s="524"/>
      <c r="O60" s="495"/>
      <c r="P60" s="495"/>
    </row>
    <row r="61" spans="1:16" s="510" customFormat="1" ht="35" customHeight="1" x14ac:dyDescent="0.3">
      <c r="A61" s="524"/>
      <c r="B61" s="741"/>
      <c r="C61" s="758"/>
      <c r="D61" s="508" t="s">
        <v>132</v>
      </c>
      <c r="E61" s="742" t="str">
        <f>IF(VLOOKUP(CONCATENATE($C$2,"-",$D61),Languages!$A:$D,1,TRUE)=CONCATENATE($C$2,"-",$D61),VLOOKUP(CONCATENATE($C$2,"-",$D61),Languages!$A:$D,Kybermittari!$C$7,TRUE),NA())</f>
        <v>Kybertapahtumien havainnoinnin (RESPONSE) osion toimintaa suorittavilla työntekijöillä on riittävät tiedot ja taidot tehtäviensä suorittamiseen.</v>
      </c>
      <c r="F61" s="742"/>
      <c r="G61" s="742"/>
      <c r="H61" s="493">
        <f>IFERROR(INT(LEFT($I61,1)),0)</f>
        <v>0</v>
      </c>
      <c r="I61" s="54"/>
      <c r="J61" s="527"/>
      <c r="K61" s="509"/>
      <c r="L61" s="524"/>
      <c r="M61" s="545"/>
      <c r="N61" s="524"/>
      <c r="O61" s="495"/>
      <c r="P61" s="495"/>
    </row>
    <row r="62" spans="1:16" s="510" customFormat="1" ht="35" customHeight="1" x14ac:dyDescent="0.3">
      <c r="A62" s="524"/>
      <c r="B62" s="741"/>
      <c r="C62" s="759"/>
      <c r="D62" s="508" t="s">
        <v>135</v>
      </c>
      <c r="E62" s="742" t="str">
        <f>IF(VLOOKUP(CONCATENATE($C$2,"-",$D62),Languages!$A:$D,1,TRUE)=CONCATENATE($C$2,"-",$D62),VLOOKUP(CONCATENATE($C$2,"-",$D62),Languages!$A:$D,Kybermittari!$C$7,TRUE),NA())</f>
        <v>Kybertapahtumien havainnoinnin (RESPONSE) osion toiminnan suorittamiseen liittyvät vastuut ja valtuudet on osoitettu nimetyille työntekijöille.</v>
      </c>
      <c r="F62" s="742"/>
      <c r="G62" s="742"/>
      <c r="H62" s="493">
        <f>IFERROR(INT(LEFT($I62,1)),0)</f>
        <v>0</v>
      </c>
      <c r="I62" s="54"/>
      <c r="J62" s="527"/>
      <c r="K62" s="509"/>
      <c r="L62" s="524"/>
      <c r="M62" s="545"/>
      <c r="N62" s="524"/>
      <c r="O62" s="495"/>
      <c r="P62" s="495"/>
    </row>
    <row r="63" spans="1:16" s="510" customFormat="1" ht="10" customHeight="1" x14ac:dyDescent="0.3">
      <c r="A63" s="524"/>
      <c r="B63" s="511"/>
      <c r="C63" s="565"/>
      <c r="D63" s="513"/>
      <c r="E63" s="501"/>
      <c r="F63" s="501"/>
      <c r="G63" s="501"/>
      <c r="H63" s="499"/>
      <c r="I63" s="502"/>
      <c r="J63" s="514"/>
      <c r="K63" s="509"/>
      <c r="L63" s="524"/>
      <c r="M63" s="545"/>
      <c r="N63" s="524"/>
      <c r="O63" s="495"/>
      <c r="P63" s="495"/>
    </row>
    <row r="64" spans="1:16" s="510" customFormat="1" ht="60" customHeight="1" x14ac:dyDescent="0.3">
      <c r="A64" s="524"/>
      <c r="B64" s="741"/>
      <c r="C64" s="757">
        <v>3</v>
      </c>
      <c r="D64" s="508" t="s">
        <v>138</v>
      </c>
      <c r="E64" s="742" t="str">
        <f>IF(VLOOKUP(CONCATENATE($C$2,"-",$D64),Languages!$A:$D,1,TRUE)=CONCATENATE($C$2,"-",$D64),VLOOKUP(CONCATENATE($C$2,"-",$D64),Languages!$A:$D,Kybermittari!$C$7,TRUE),NA())</f>
        <v>Kybertapahtumien havainnoinnin (RESPONSE) osion toiminta perustuu organisaation määrittämään ja ylläpitämään johtotason politiikkaan (tai vastaavaan ohjeistukseen), jossa asetetaan nimenomaisia vaatimuksia tämän osion toiminnalle.</v>
      </c>
      <c r="F64" s="742"/>
      <c r="G64" s="742"/>
      <c r="H64" s="493">
        <f>IFERROR(INT(LEFT($I64,1)),0)</f>
        <v>0</v>
      </c>
      <c r="I64" s="54"/>
      <c r="J64" s="527"/>
      <c r="K64" s="509"/>
      <c r="L64" s="524"/>
      <c r="M64" s="545"/>
      <c r="N64" s="524"/>
      <c r="O64" s="495"/>
      <c r="P64" s="495"/>
    </row>
    <row r="65" spans="1:16" s="510" customFormat="1" ht="35" customHeight="1" x14ac:dyDescent="0.3">
      <c r="A65" s="524"/>
      <c r="B65" s="741"/>
      <c r="C65" s="758"/>
      <c r="D65" s="508" t="s">
        <v>140</v>
      </c>
      <c r="E65" s="742" t="str">
        <f>IF(VLOOKUP(CONCATENATE($C$2,"-",$D65),Languages!$A:$D,1,TRUE)=CONCATENATE($C$2,"-",$D65),VLOOKUP(CONCATENATE($C$2,"-",$D65),Languages!$A:$D,Kybermittari!$C$7,TRUE),NA())</f>
        <v>Kybertapahtumien havainnoinnin (RESPONSE) osion toiminnalle on määritetty suoriutumistavoitteet, joiden toteutumista seurataan [kts. PROGRAM-1b].</v>
      </c>
      <c r="F65" s="742"/>
      <c r="G65" s="742"/>
      <c r="H65" s="493">
        <f>IFERROR(INT(LEFT($I65,1)),0)</f>
        <v>0</v>
      </c>
      <c r="I65" s="54"/>
      <c r="J65" s="527"/>
      <c r="K65" s="509"/>
      <c r="L65" s="524"/>
      <c r="M65" s="545"/>
      <c r="N65" s="524"/>
      <c r="O65" s="495"/>
      <c r="P65" s="495"/>
    </row>
    <row r="66" spans="1:16" s="510" customFormat="1" ht="35" customHeight="1" x14ac:dyDescent="0.25">
      <c r="A66" s="524"/>
      <c r="B66" s="741"/>
      <c r="C66" s="759"/>
      <c r="D66" s="508" t="s">
        <v>255</v>
      </c>
      <c r="E66" s="742" t="str">
        <f>IF(VLOOKUP(CONCATENATE($C$2,"-",$D66),Languages!$A:$D,1,TRUE)=CONCATENATE($C$2,"-",$D66),VLOOKUP(CONCATENATE($C$2,"-",$D66),Languages!$A:$D,Kybermittari!$C$7,TRUE),NA())</f>
        <v>Kybertapahtumien havainnoinnin (RESPONSE) osioon liittyvät käytännöt on standardoitu läpi koko organisaation ja niitä kehitetään aktiivisesti.</v>
      </c>
      <c r="F66" s="742"/>
      <c r="G66" s="742"/>
      <c r="H66" s="493">
        <f>IFERROR(INT(LEFT($I66,1)),0)</f>
        <v>0</v>
      </c>
      <c r="I66" s="54"/>
      <c r="J66" s="527"/>
      <c r="K66" s="509"/>
      <c r="L66" s="524"/>
      <c r="M66" s="637"/>
      <c r="N66" s="524"/>
      <c r="O66" s="495"/>
      <c r="P66" s="495"/>
    </row>
    <row r="67" spans="1:16" x14ac:dyDescent="0.25">
      <c r="A67" s="347"/>
      <c r="B67" s="619"/>
      <c r="C67" s="620"/>
      <c r="D67" s="621"/>
      <c r="E67" s="622"/>
      <c r="F67" s="622"/>
      <c r="G67" s="622"/>
      <c r="H67" s="623"/>
      <c r="I67" s="624"/>
      <c r="J67" s="625"/>
      <c r="K67" s="626"/>
      <c r="L67" s="347"/>
      <c r="M67" s="638"/>
      <c r="N67" s="347"/>
    </row>
    <row r="68" spans="1:16" x14ac:dyDescent="0.25">
      <c r="A68" s="347"/>
      <c r="B68" s="347"/>
      <c r="C68" s="347"/>
      <c r="D68" s="347"/>
      <c r="E68" s="347"/>
      <c r="F68" s="347"/>
      <c r="G68" s="347"/>
      <c r="H68" s="627"/>
      <c r="I68" s="347"/>
      <c r="J68" s="347"/>
      <c r="K68" s="347"/>
      <c r="L68" s="347"/>
      <c r="M68" s="638"/>
      <c r="N68" s="347"/>
    </row>
  </sheetData>
  <sheetProtection sheet="1" objects="1" scenarios="1"/>
  <mergeCells count="53">
    <mergeCell ref="E66:G66"/>
    <mergeCell ref="E19:G19"/>
    <mergeCell ref="E20:G20"/>
    <mergeCell ref="E49:G49"/>
    <mergeCell ref="E61:G61"/>
    <mergeCell ref="E62:G62"/>
    <mergeCell ref="E65:G65"/>
    <mergeCell ref="C49:C52"/>
    <mergeCell ref="E64:G64"/>
    <mergeCell ref="C5:J5"/>
    <mergeCell ref="C59:C62"/>
    <mergeCell ref="C23:J23"/>
    <mergeCell ref="C11:J11"/>
    <mergeCell ref="C19:C21"/>
    <mergeCell ref="C29:C33"/>
    <mergeCell ref="C35:C36"/>
    <mergeCell ref="C41:C43"/>
    <mergeCell ref="C45:C47"/>
    <mergeCell ref="B64:B66"/>
    <mergeCell ref="C38:J38"/>
    <mergeCell ref="E41:G41"/>
    <mergeCell ref="E42:G42"/>
    <mergeCell ref="E43:G43"/>
    <mergeCell ref="E45:G45"/>
    <mergeCell ref="E46:G46"/>
    <mergeCell ref="E47:G47"/>
    <mergeCell ref="E51:G51"/>
    <mergeCell ref="E50:G50"/>
    <mergeCell ref="E52:G52"/>
    <mergeCell ref="C54:J54"/>
    <mergeCell ref="C64:C66"/>
    <mergeCell ref="B59:B62"/>
    <mergeCell ref="E59:G59"/>
    <mergeCell ref="E60:G60"/>
    <mergeCell ref="B26:B27"/>
    <mergeCell ref="C26:C27"/>
    <mergeCell ref="E26:G26"/>
    <mergeCell ref="E27:G27"/>
    <mergeCell ref="B29:B36"/>
    <mergeCell ref="E29:G29"/>
    <mergeCell ref="E30:G30"/>
    <mergeCell ref="E31:G31"/>
    <mergeCell ref="E32:G32"/>
    <mergeCell ref="E33:G33"/>
    <mergeCell ref="E35:G35"/>
    <mergeCell ref="E36:G36"/>
    <mergeCell ref="B14:B16"/>
    <mergeCell ref="E14:G14"/>
    <mergeCell ref="C16:C17"/>
    <mergeCell ref="E16:G16"/>
    <mergeCell ref="B17:B21"/>
    <mergeCell ref="E17:G17"/>
    <mergeCell ref="E21:G21"/>
  </mergeCells>
  <conditionalFormatting sqref="H1:H1048576">
    <cfRule type="containsText" dxfId="53" priority="3" operator="containsText" text="0">
      <formula>NOT(ISERROR(SEARCH("0",H1)))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D7A53347-6F96-4FDC-BD49-F3FCBC1798F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H1:H1048576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I14 I16:I17 I19:I21 I26:I27 I29:I33 I35:I36 I41:I43 I45:I47 I49:I52 I59:I62 I64:I66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Kybermittari</vt:lpstr>
      <vt:lpstr>CRITICAL</vt:lpstr>
      <vt:lpstr>RISK</vt:lpstr>
      <vt:lpstr>DEPENDENCIES</vt:lpstr>
      <vt:lpstr>ASSET</vt:lpstr>
      <vt:lpstr>ACCESS</vt:lpstr>
      <vt:lpstr>THREAT</vt:lpstr>
      <vt:lpstr>SITUATION</vt:lpstr>
      <vt:lpstr>RESPONSE</vt:lpstr>
      <vt:lpstr>WORKFORCE</vt:lpstr>
      <vt:lpstr>ARCHITECTURE</vt:lpstr>
      <vt:lpstr>PROGRAM</vt:lpstr>
      <vt:lpstr>Investment</vt:lpstr>
      <vt:lpstr>DataExport</vt:lpstr>
      <vt:lpstr>R1</vt:lpstr>
      <vt:lpstr>R2</vt:lpstr>
      <vt:lpstr>R3</vt:lpstr>
      <vt:lpstr>Languages</vt:lpstr>
      <vt:lpstr>Data</vt:lpstr>
      <vt:lpstr>NISTMap</vt:lpstr>
      <vt:lpstr>Parameters</vt:lpstr>
      <vt:lpstr>'R2'!Print_Area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2020-06-01T09:29:30Z</dcterms:created>
  <dcterms:modified xsi:type="dcterms:W3CDTF">2020-11-01T15:11:34Z</dcterms:modified>
</cp:coreProperties>
</file>